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vml" ContentType="application/vnd.openxmlformats-officedocument.vmlDrawing"/>
  <Default Extension="emf" ContentType="image/x-em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codeName="Questa_cartella_di_lavoro"/>
  <mc:AlternateContent xmlns:mc="http://schemas.openxmlformats.org/markup-compatibility/2006">
    <mc:Choice Requires="x15">
      <x15ac:absPath xmlns:x15ac="http://schemas.microsoft.com/office/spreadsheetml/2010/11/ac" url="/Users/simonefranzo/Dropbox/KMS_E&amp;S CONSULENZE/Consulenza/2017/175006_ENEA - illuminazione smart/progetto/Foglio di calcolo/Fase B/"/>
    </mc:Choice>
  </mc:AlternateContent>
  <bookViews>
    <workbookView xWindow="0" yWindow="460" windowWidth="51200" windowHeight="26940"/>
  </bookViews>
  <sheets>
    <sheet name="Guida al modello" sheetId="28" r:id="rId1"/>
    <sheet name="Autofinanziamento" sheetId="11" r:id="rId2"/>
    <sheet name="Project Financing" sheetId="17" r:id="rId3"/>
    <sheet name="CONSIP" sheetId="20" r:id="rId4"/>
    <sheet name="PPP" sheetId="21" r:id="rId5"/>
    <sheet name="Prezzi smart adaptive lighting" sheetId="1" r:id="rId6"/>
    <sheet name="Prezzi servizi &quot;smart&quot;" sheetId="27" r:id="rId7"/>
    <sheet name="Dettaglio strade (ENEA)" sheetId="4" r:id="rId8"/>
    <sheet name="Foglio 1" sheetId="10" state="hidden" r:id="rId9"/>
  </sheets>
  <externalReferences>
    <externalReference r:id="rId10"/>
  </externalReferences>
  <definedNames>
    <definedName name="_xlnm.Print_Area" localSheetId="7">'Dettaglio strade (ENEA)'!$A$1:$AD$144</definedName>
    <definedName name="DataFineEffettiva">[1]Attivita!$H$7</definedName>
    <definedName name="DataFineObiettivo">[1]Attivita!$C$7</definedName>
    <definedName name="DataInizioObiettivo">[1]Attivita!$C$6</definedName>
    <definedName name="Frase01">[1]Calcoli!$IE$21</definedName>
    <definedName name="Frase02">[1]Calcoli!$IF$21</definedName>
    <definedName name="Frase03">[1]Calcoli!$IG$21</definedName>
    <definedName name="manut">'Foglio 1'!$A$2:$A$3</definedName>
    <definedName name="Nome">'Prezzi smart adaptive lighting'!$B$5:$B$8</definedName>
    <definedName name="pacchetti">'Prezzi smart adaptive lighting'!$B$16:$B$20</definedName>
    <definedName name="software">'Foglio 1'!$C$2:$C$5</definedName>
  </definedNam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G96" i="21" l="1"/>
  <c r="D201" i="17"/>
  <c r="D199" i="17"/>
  <c r="D197" i="17"/>
  <c r="D87" i="17"/>
  <c r="D203" i="20"/>
  <c r="D201" i="20"/>
  <c r="D199" i="20"/>
  <c r="D88" i="20"/>
  <c r="D88" i="21"/>
  <c r="D203" i="21"/>
  <c r="D109" i="21"/>
  <c r="D201" i="21"/>
  <c r="D199" i="21"/>
  <c r="G109" i="20"/>
  <c r="D109" i="20"/>
  <c r="D181" i="11"/>
  <c r="E137" i="11"/>
  <c r="E139" i="11"/>
  <c r="E128" i="11"/>
  <c r="E130" i="11"/>
  <c r="E129" i="11"/>
  <c r="D108" i="17"/>
  <c r="D179" i="11"/>
  <c r="D177" i="11"/>
  <c r="E129" i="17"/>
  <c r="E182" i="17"/>
  <c r="G88" i="17"/>
  <c r="G86" i="17"/>
  <c r="F152" i="21"/>
  <c r="G152" i="21"/>
  <c r="H152" i="21"/>
  <c r="I152" i="21"/>
  <c r="J152" i="21"/>
  <c r="K152" i="21"/>
  <c r="L152" i="21"/>
  <c r="M152" i="21"/>
  <c r="N152" i="21"/>
  <c r="O152" i="21"/>
  <c r="P152" i="21"/>
  <c r="Q152" i="21"/>
  <c r="R152" i="21"/>
  <c r="S152" i="21"/>
  <c r="E152" i="21"/>
  <c r="F130" i="21"/>
  <c r="G130" i="21"/>
  <c r="H130" i="21"/>
  <c r="I130" i="21"/>
  <c r="J130" i="21"/>
  <c r="K130" i="21"/>
  <c r="L130" i="21"/>
  <c r="M130" i="21"/>
  <c r="N130" i="21"/>
  <c r="O130" i="21"/>
  <c r="P130" i="21"/>
  <c r="Q130" i="21"/>
  <c r="R130" i="21"/>
  <c r="S130" i="21"/>
  <c r="E130" i="21"/>
  <c r="F152" i="17"/>
  <c r="E152" i="17"/>
  <c r="F130" i="20"/>
  <c r="F152" i="20"/>
  <c r="G152" i="20"/>
  <c r="H152" i="20"/>
  <c r="I152" i="20"/>
  <c r="J152" i="20"/>
  <c r="K152" i="20"/>
  <c r="L152" i="20"/>
  <c r="M152" i="20"/>
  <c r="E152" i="20"/>
  <c r="G130" i="20"/>
  <c r="H130" i="20"/>
  <c r="I130" i="20"/>
  <c r="J130" i="20"/>
  <c r="K130" i="20"/>
  <c r="L130" i="20"/>
  <c r="M130" i="20"/>
  <c r="E130" i="20"/>
  <c r="G152" i="17"/>
  <c r="H152" i="17"/>
  <c r="I152" i="17"/>
  <c r="J152" i="17"/>
  <c r="K152" i="17"/>
  <c r="L152" i="17"/>
  <c r="M152" i="17"/>
  <c r="N152" i="17"/>
  <c r="O152" i="17"/>
  <c r="P152" i="17"/>
  <c r="Q152" i="17"/>
  <c r="R152" i="17"/>
  <c r="S152" i="17"/>
  <c r="F129" i="17"/>
  <c r="G129" i="17"/>
  <c r="H129" i="17"/>
  <c r="I129" i="17"/>
  <c r="J129" i="17"/>
  <c r="K129" i="17"/>
  <c r="L129" i="17"/>
  <c r="M129" i="17"/>
  <c r="N129" i="17"/>
  <c r="O129" i="17"/>
  <c r="P129" i="17"/>
  <c r="Q129" i="17"/>
  <c r="R129" i="17"/>
  <c r="S129" i="17"/>
  <c r="E167" i="11"/>
  <c r="F129" i="11"/>
  <c r="G129" i="11"/>
  <c r="H129" i="11"/>
  <c r="I129" i="11"/>
  <c r="J129" i="11"/>
  <c r="K129" i="11"/>
  <c r="L129" i="11"/>
  <c r="M129" i="11"/>
  <c r="N129" i="11"/>
  <c r="O129" i="11"/>
  <c r="P129" i="11"/>
  <c r="Q129" i="11"/>
  <c r="R129" i="11"/>
  <c r="S129" i="11"/>
  <c r="K6" i="11"/>
  <c r="K7" i="11"/>
  <c r="K8" i="11"/>
  <c r="K9" i="11"/>
  <c r="K10" i="11"/>
  <c r="K11" i="11"/>
  <c r="K12" i="11"/>
  <c r="K13" i="11"/>
  <c r="K14" i="11"/>
  <c r="K15" i="11"/>
  <c r="K16" i="11"/>
  <c r="K17" i="11"/>
  <c r="K18" i="11"/>
  <c r="K19" i="11"/>
  <c r="K20" i="11"/>
  <c r="K21" i="11"/>
  <c r="D71" i="11"/>
  <c r="G86" i="11"/>
  <c r="G88" i="11"/>
  <c r="G85" i="11"/>
  <c r="A55" i="28"/>
  <c r="D39" i="21"/>
  <c r="E39" i="20"/>
  <c r="E39" i="17"/>
  <c r="D39" i="11"/>
  <c r="D106" i="11"/>
  <c r="B212" i="28"/>
  <c r="B211" i="28"/>
  <c r="B210" i="28"/>
  <c r="B209" i="28"/>
  <c r="E137" i="17"/>
  <c r="E138" i="17"/>
  <c r="F137" i="17"/>
  <c r="F138" i="17"/>
  <c r="G137" i="17"/>
  <c r="G138" i="17"/>
  <c r="H137" i="17"/>
  <c r="H138" i="17"/>
  <c r="I137" i="17"/>
  <c r="I138" i="17"/>
  <c r="J137" i="17"/>
  <c r="J138" i="17"/>
  <c r="K137" i="17"/>
  <c r="K138" i="17"/>
  <c r="L137" i="17"/>
  <c r="L138" i="17"/>
  <c r="M137" i="17"/>
  <c r="M138" i="17"/>
  <c r="N137" i="17"/>
  <c r="N138" i="17"/>
  <c r="O137" i="17"/>
  <c r="O138" i="17"/>
  <c r="P137" i="17"/>
  <c r="P138" i="17"/>
  <c r="Q137" i="17"/>
  <c r="Q138" i="17"/>
  <c r="R137" i="17"/>
  <c r="R138" i="17"/>
  <c r="S137" i="17"/>
  <c r="S138" i="17"/>
  <c r="D140" i="17"/>
  <c r="O193" i="28"/>
  <c r="O194" i="28"/>
  <c r="K193" i="28"/>
  <c r="K194" i="28"/>
  <c r="G193" i="28"/>
  <c r="G194" i="28"/>
  <c r="C193" i="28"/>
  <c r="C194" i="28"/>
  <c r="D193" i="28"/>
  <c r="D194" i="28"/>
  <c r="E193" i="28"/>
  <c r="E194" i="28"/>
  <c r="F193" i="28"/>
  <c r="F194" i="28"/>
  <c r="H193" i="28"/>
  <c r="H194" i="28"/>
  <c r="I193" i="28"/>
  <c r="I194" i="28"/>
  <c r="J193" i="28"/>
  <c r="J194" i="28"/>
  <c r="L193" i="28"/>
  <c r="L194" i="28"/>
  <c r="M193" i="28"/>
  <c r="M194" i="28"/>
  <c r="N193" i="28"/>
  <c r="N194" i="28"/>
  <c r="P193" i="28"/>
  <c r="P194" i="28"/>
  <c r="Q193" i="28"/>
  <c r="Q194" i="28"/>
  <c r="B196" i="28"/>
  <c r="B190" i="28"/>
  <c r="Q185" i="28"/>
  <c r="Q186" i="28"/>
  <c r="P185" i="28"/>
  <c r="P186" i="28"/>
  <c r="O185" i="28"/>
  <c r="O186" i="28"/>
  <c r="N185" i="28"/>
  <c r="N186" i="28"/>
  <c r="M185" i="28"/>
  <c r="M186" i="28"/>
  <c r="L185" i="28"/>
  <c r="L186" i="28"/>
  <c r="K185" i="28"/>
  <c r="K186" i="28"/>
  <c r="J185" i="28"/>
  <c r="J186" i="28"/>
  <c r="I185" i="28"/>
  <c r="I186" i="28"/>
  <c r="H185" i="28"/>
  <c r="H186" i="28"/>
  <c r="G185" i="28"/>
  <c r="G186" i="28"/>
  <c r="F185" i="28"/>
  <c r="F186" i="28"/>
  <c r="E185" i="28"/>
  <c r="E186" i="28"/>
  <c r="D185" i="28"/>
  <c r="D186" i="28"/>
  <c r="C185" i="28"/>
  <c r="C186" i="28"/>
  <c r="B184" i="28"/>
  <c r="B186" i="28"/>
  <c r="B187" i="28"/>
  <c r="D74" i="11"/>
  <c r="D17" i="27"/>
  <c r="D78" i="11"/>
  <c r="D80" i="11"/>
  <c r="D81" i="11"/>
  <c r="D82" i="11"/>
  <c r="D84" i="11"/>
  <c r="D85" i="11"/>
  <c r="D88" i="11"/>
  <c r="D106" i="21"/>
  <c r="D106" i="20"/>
  <c r="D105" i="17"/>
  <c r="D105" i="20"/>
  <c r="D105" i="11"/>
  <c r="E113" i="11"/>
  <c r="D104" i="21"/>
  <c r="D104" i="20"/>
  <c r="D103" i="17"/>
  <c r="D104" i="11"/>
  <c r="D105" i="21"/>
  <c r="D104" i="17"/>
  <c r="D75" i="21"/>
  <c r="D75" i="20"/>
  <c r="D74" i="17"/>
  <c r="D75" i="11"/>
  <c r="D93" i="11"/>
  <c r="D93" i="20"/>
  <c r="D93" i="17"/>
  <c r="H45" i="11"/>
  <c r="H44" i="11"/>
  <c r="H46" i="11"/>
  <c r="H47" i="11"/>
  <c r="D94" i="11"/>
  <c r="H21" i="21"/>
  <c r="E31" i="21"/>
  <c r="F33" i="21"/>
  <c r="E33" i="21"/>
  <c r="F31" i="21"/>
  <c r="F33" i="20"/>
  <c r="F31" i="20"/>
  <c r="F33" i="17"/>
  <c r="H21" i="17"/>
  <c r="E33" i="17"/>
  <c r="G32" i="17"/>
  <c r="G33" i="17"/>
  <c r="E31" i="17"/>
  <c r="F31" i="17"/>
  <c r="G27" i="17"/>
  <c r="G28" i="17"/>
  <c r="G29" i="17"/>
  <c r="G30" i="17"/>
  <c r="F33" i="11"/>
  <c r="H21" i="11"/>
  <c r="E33" i="11"/>
  <c r="E31" i="11"/>
  <c r="F31" i="11"/>
  <c r="E6" i="21"/>
  <c r="E7" i="21"/>
  <c r="E8" i="21"/>
  <c r="E9" i="21"/>
  <c r="E10" i="21"/>
  <c r="E11" i="21"/>
  <c r="E12" i="21"/>
  <c r="E13" i="21"/>
  <c r="E14" i="21"/>
  <c r="E15" i="21"/>
  <c r="G95" i="21"/>
  <c r="K6" i="21"/>
  <c r="K7" i="21"/>
  <c r="L7" i="21"/>
  <c r="K8" i="21"/>
  <c r="L8" i="21"/>
  <c r="K9" i="21"/>
  <c r="K10" i="21"/>
  <c r="K11" i="21"/>
  <c r="L11" i="21"/>
  <c r="K12" i="21"/>
  <c r="L12" i="21"/>
  <c r="K13" i="21"/>
  <c r="K14" i="21"/>
  <c r="K15" i="21"/>
  <c r="L15" i="21"/>
  <c r="K17" i="21"/>
  <c r="L17" i="21"/>
  <c r="K18" i="21"/>
  <c r="K19" i="21"/>
  <c r="K20" i="21"/>
  <c r="L20" i="21"/>
  <c r="K16" i="21"/>
  <c r="K21" i="21"/>
  <c r="D71" i="21"/>
  <c r="G90" i="21"/>
  <c r="F185" i="21"/>
  <c r="D122" i="21"/>
  <c r="F191" i="21"/>
  <c r="G185" i="21"/>
  <c r="G191" i="21"/>
  <c r="H185" i="21"/>
  <c r="H191" i="21"/>
  <c r="I185" i="21"/>
  <c r="I191" i="21"/>
  <c r="J185" i="21"/>
  <c r="J191" i="21"/>
  <c r="K185" i="21"/>
  <c r="K191" i="21"/>
  <c r="L185" i="21"/>
  <c r="L191" i="21"/>
  <c r="M185" i="21"/>
  <c r="M191" i="21"/>
  <c r="N185" i="21"/>
  <c r="N191" i="21"/>
  <c r="O185" i="21"/>
  <c r="O191" i="21"/>
  <c r="P185" i="21"/>
  <c r="P191" i="21"/>
  <c r="Q185" i="21"/>
  <c r="Q191" i="21"/>
  <c r="R185" i="21"/>
  <c r="R191" i="21"/>
  <c r="S185" i="21"/>
  <c r="S191" i="21"/>
  <c r="E185" i="21"/>
  <c r="E191" i="21"/>
  <c r="K6" i="20"/>
  <c r="K7" i="20"/>
  <c r="L7" i="20"/>
  <c r="K8" i="20"/>
  <c r="K9" i="20"/>
  <c r="K10" i="20"/>
  <c r="K11" i="20"/>
  <c r="L11" i="20"/>
  <c r="K12" i="20"/>
  <c r="K13" i="20"/>
  <c r="L13" i="20"/>
  <c r="K14" i="20"/>
  <c r="K15" i="20"/>
  <c r="L15" i="20"/>
  <c r="G90" i="20"/>
  <c r="E6" i="20"/>
  <c r="E7" i="20"/>
  <c r="E8" i="20"/>
  <c r="E9" i="20"/>
  <c r="E10" i="20"/>
  <c r="E11" i="20"/>
  <c r="E12" i="20"/>
  <c r="E13" i="20"/>
  <c r="E14" i="20"/>
  <c r="E15" i="20"/>
  <c r="G95" i="20"/>
  <c r="G96" i="20"/>
  <c r="F185" i="20"/>
  <c r="G185" i="20"/>
  <c r="H185" i="20"/>
  <c r="I185" i="20"/>
  <c r="J185" i="20"/>
  <c r="K185" i="20"/>
  <c r="L185" i="20"/>
  <c r="M185" i="20"/>
  <c r="E185" i="20"/>
  <c r="G95" i="17"/>
  <c r="E6" i="17"/>
  <c r="E7" i="17"/>
  <c r="E8" i="17"/>
  <c r="E9" i="17"/>
  <c r="E10" i="17"/>
  <c r="E11" i="17"/>
  <c r="E12" i="17"/>
  <c r="E13" i="17"/>
  <c r="E14" i="17"/>
  <c r="E15" i="17"/>
  <c r="G93" i="17"/>
  <c r="D121" i="17"/>
  <c r="K6" i="17"/>
  <c r="L6" i="17"/>
  <c r="K7" i="17"/>
  <c r="L7" i="17"/>
  <c r="K8" i="17"/>
  <c r="L8" i="17"/>
  <c r="K9" i="17"/>
  <c r="L9" i="17"/>
  <c r="K10" i="17"/>
  <c r="L10" i="17"/>
  <c r="K11" i="17"/>
  <c r="K12" i="17"/>
  <c r="K13" i="17"/>
  <c r="L13" i="17"/>
  <c r="K14" i="17"/>
  <c r="L14" i="17"/>
  <c r="K15" i="17"/>
  <c r="K16" i="17"/>
  <c r="K17" i="17"/>
  <c r="K18" i="17"/>
  <c r="K19" i="17"/>
  <c r="K20" i="17"/>
  <c r="F183" i="17"/>
  <c r="F189" i="17"/>
  <c r="G183" i="17"/>
  <c r="G189" i="17"/>
  <c r="H183" i="17"/>
  <c r="H189" i="17"/>
  <c r="I183" i="17"/>
  <c r="I189" i="17"/>
  <c r="J183" i="17"/>
  <c r="J189" i="17"/>
  <c r="K183" i="17"/>
  <c r="K189" i="17"/>
  <c r="L183" i="17"/>
  <c r="L189" i="17"/>
  <c r="M183" i="17"/>
  <c r="M189" i="17"/>
  <c r="N183" i="17"/>
  <c r="N189" i="17"/>
  <c r="O183" i="17"/>
  <c r="O189" i="17"/>
  <c r="P183" i="17"/>
  <c r="P189" i="17"/>
  <c r="Q183" i="17"/>
  <c r="Q189" i="17"/>
  <c r="R183" i="17"/>
  <c r="R189" i="17"/>
  <c r="S183" i="17"/>
  <c r="S189" i="17"/>
  <c r="E183" i="17"/>
  <c r="E189" i="17"/>
  <c r="H48" i="11"/>
  <c r="H49" i="11"/>
  <c r="H50" i="11"/>
  <c r="H51" i="11"/>
  <c r="H52" i="11"/>
  <c r="H53" i="11"/>
  <c r="D97" i="11"/>
  <c r="H54" i="11"/>
  <c r="H55" i="11"/>
  <c r="D98" i="11"/>
  <c r="H56" i="11"/>
  <c r="H60" i="11"/>
  <c r="H61" i="11"/>
  <c r="H62" i="11"/>
  <c r="H65" i="11"/>
  <c r="H66" i="11"/>
  <c r="H67" i="11"/>
  <c r="H44" i="17"/>
  <c r="H45" i="17"/>
  <c r="H46" i="17"/>
  <c r="H47" i="17"/>
  <c r="H48" i="17"/>
  <c r="H49" i="17"/>
  <c r="D94" i="17"/>
  <c r="H50" i="17"/>
  <c r="H51" i="17"/>
  <c r="H52" i="17"/>
  <c r="H53" i="17"/>
  <c r="D96" i="17"/>
  <c r="H54" i="17"/>
  <c r="H55" i="17"/>
  <c r="H56" i="17"/>
  <c r="H60" i="17"/>
  <c r="H61" i="17"/>
  <c r="H62" i="17"/>
  <c r="H65" i="17"/>
  <c r="H66" i="17"/>
  <c r="H67" i="17"/>
  <c r="H44" i="20"/>
  <c r="H45" i="20"/>
  <c r="H46" i="20"/>
  <c r="H47" i="20"/>
  <c r="H48" i="20"/>
  <c r="H49" i="20"/>
  <c r="D95" i="20"/>
  <c r="H50" i="20"/>
  <c r="H51" i="20"/>
  <c r="H52" i="20"/>
  <c r="H53" i="20"/>
  <c r="H54" i="20"/>
  <c r="H55" i="20"/>
  <c r="H56" i="20"/>
  <c r="D99" i="20"/>
  <c r="H60" i="20"/>
  <c r="H61" i="20"/>
  <c r="H62" i="20"/>
  <c r="H65" i="20"/>
  <c r="H66" i="20"/>
  <c r="D103" i="20"/>
  <c r="H65" i="21"/>
  <c r="D100" i="21"/>
  <c r="H66" i="21"/>
  <c r="H60" i="21"/>
  <c r="H61" i="21"/>
  <c r="D102" i="21"/>
  <c r="H44" i="21"/>
  <c r="H45" i="21"/>
  <c r="H46" i="21"/>
  <c r="H47" i="21"/>
  <c r="H48" i="21"/>
  <c r="H49" i="21"/>
  <c r="D95" i="21"/>
  <c r="H50" i="21"/>
  <c r="D96" i="21"/>
  <c r="H51" i="21"/>
  <c r="H52" i="21"/>
  <c r="H53" i="21"/>
  <c r="D97" i="21"/>
  <c r="H54" i="21"/>
  <c r="H55" i="21"/>
  <c r="H56" i="21"/>
  <c r="D99" i="21"/>
  <c r="G67" i="11"/>
  <c r="G62" i="11"/>
  <c r="L6" i="21"/>
  <c r="L9" i="21"/>
  <c r="L10" i="21"/>
  <c r="L13" i="21"/>
  <c r="L14" i="21"/>
  <c r="L16" i="21"/>
  <c r="L18" i="21"/>
  <c r="L19" i="21"/>
  <c r="G57" i="21"/>
  <c r="G62" i="21"/>
  <c r="G67" i="21"/>
  <c r="K16" i="20"/>
  <c r="L16" i="20"/>
  <c r="K17" i="20"/>
  <c r="L17" i="20"/>
  <c r="K18" i="20"/>
  <c r="K19" i="20"/>
  <c r="L19" i="20"/>
  <c r="K20" i="20"/>
  <c r="L6" i="20"/>
  <c r="L8" i="20"/>
  <c r="L10" i="20"/>
  <c r="L12" i="20"/>
  <c r="L14" i="20"/>
  <c r="L18" i="20"/>
  <c r="L20" i="20"/>
  <c r="G57" i="20"/>
  <c r="G67" i="20"/>
  <c r="G62" i="20"/>
  <c r="L11" i="17"/>
  <c r="L12" i="17"/>
  <c r="L15" i="17"/>
  <c r="L16" i="17"/>
  <c r="L17" i="17"/>
  <c r="L18" i="17"/>
  <c r="L19" i="17"/>
  <c r="L20" i="17"/>
  <c r="D82" i="17"/>
  <c r="G57" i="17"/>
  <c r="G62" i="17"/>
  <c r="G67" i="17"/>
  <c r="L6" i="11"/>
  <c r="L8" i="11"/>
  <c r="L9" i="11"/>
  <c r="L12" i="11"/>
  <c r="D73" i="11"/>
  <c r="D76" i="11"/>
  <c r="D79" i="11"/>
  <c r="D81" i="17"/>
  <c r="D83" i="17"/>
  <c r="D84" i="17"/>
  <c r="D72" i="17"/>
  <c r="D73" i="17"/>
  <c r="D75" i="17"/>
  <c r="D77" i="17"/>
  <c r="D78" i="17"/>
  <c r="D79" i="17"/>
  <c r="D80" i="17"/>
  <c r="L7" i="11"/>
  <c r="L10" i="11"/>
  <c r="L11" i="11"/>
  <c r="L13" i="11"/>
  <c r="L14" i="11"/>
  <c r="L15" i="11"/>
  <c r="L16" i="11"/>
  <c r="L17" i="11"/>
  <c r="L18" i="11"/>
  <c r="L19" i="11"/>
  <c r="L20" i="11"/>
  <c r="G57" i="11"/>
  <c r="E6" i="11"/>
  <c r="E7" i="11"/>
  <c r="E8" i="11"/>
  <c r="E9" i="11"/>
  <c r="E10" i="11"/>
  <c r="E11" i="11"/>
  <c r="E12" i="11"/>
  <c r="E13" i="11"/>
  <c r="E14" i="11"/>
  <c r="E15" i="11"/>
  <c r="G93" i="11"/>
  <c r="G95" i="11"/>
  <c r="D119" i="11"/>
  <c r="G106" i="11"/>
  <c r="D73" i="21"/>
  <c r="D74" i="21"/>
  <c r="D76" i="21"/>
  <c r="D78" i="21"/>
  <c r="D79" i="21"/>
  <c r="D80" i="21"/>
  <c r="D81" i="21"/>
  <c r="D82" i="21"/>
  <c r="D84" i="21"/>
  <c r="D85" i="21"/>
  <c r="G27" i="21"/>
  <c r="G28" i="21"/>
  <c r="G29" i="21"/>
  <c r="G30" i="21"/>
  <c r="G32" i="21"/>
  <c r="D92" i="21"/>
  <c r="D98" i="21"/>
  <c r="D103" i="21"/>
  <c r="D107" i="21"/>
  <c r="D83" i="21"/>
  <c r="D73" i="20"/>
  <c r="D74" i="20"/>
  <c r="D76" i="20"/>
  <c r="D78" i="20"/>
  <c r="D79" i="20"/>
  <c r="D80" i="20"/>
  <c r="D81" i="20"/>
  <c r="D82" i="20"/>
  <c r="D84" i="20"/>
  <c r="D85" i="20"/>
  <c r="G27" i="20"/>
  <c r="G28" i="20"/>
  <c r="G29" i="20"/>
  <c r="G30" i="20"/>
  <c r="G32" i="20"/>
  <c r="D92" i="20"/>
  <c r="D96" i="20"/>
  <c r="D98" i="20"/>
  <c r="D101" i="20"/>
  <c r="D102" i="20"/>
  <c r="D107" i="20"/>
  <c r="D83" i="20"/>
  <c r="D100" i="17"/>
  <c r="D101" i="11"/>
  <c r="D83" i="11"/>
  <c r="G27" i="11"/>
  <c r="G28" i="11"/>
  <c r="G29" i="11"/>
  <c r="D92" i="11"/>
  <c r="D77" i="11"/>
  <c r="F130" i="11"/>
  <c r="G130" i="11"/>
  <c r="H130" i="11"/>
  <c r="I130" i="11"/>
  <c r="J130" i="11"/>
  <c r="K130" i="11"/>
  <c r="L130" i="11"/>
  <c r="M130" i="11"/>
  <c r="N130" i="11"/>
  <c r="O130" i="11"/>
  <c r="P130" i="11"/>
  <c r="Q130" i="11"/>
  <c r="R130" i="11"/>
  <c r="S130" i="11"/>
  <c r="D107" i="11"/>
  <c r="D106" i="17"/>
  <c r="G106" i="20"/>
  <c r="G105" i="17"/>
  <c r="D21" i="11"/>
  <c r="G106" i="21"/>
  <c r="D95" i="17"/>
  <c r="D97" i="17"/>
  <c r="D98" i="17"/>
  <c r="D99" i="17"/>
  <c r="D101" i="17"/>
  <c r="D102" i="17"/>
  <c r="G30" i="11"/>
  <c r="D96" i="11"/>
  <c r="D99" i="11"/>
  <c r="D100" i="11"/>
  <c r="D102" i="11"/>
  <c r="D103" i="11"/>
  <c r="H32" i="11"/>
  <c r="H27" i="11"/>
  <c r="F25" i="11"/>
  <c r="H32" i="20"/>
  <c r="H27" i="20"/>
  <c r="F25" i="20"/>
  <c r="F25" i="21"/>
  <c r="H32" i="21"/>
  <c r="H27" i="21"/>
  <c r="F25" i="17"/>
  <c r="H32" i="17"/>
  <c r="H27" i="17"/>
  <c r="G32" i="11"/>
  <c r="G33" i="11"/>
  <c r="D77" i="21"/>
  <c r="D77" i="20"/>
  <c r="E115" i="17"/>
  <c r="D76" i="17"/>
  <c r="D21" i="21"/>
  <c r="D21" i="20"/>
  <c r="F57" i="21"/>
  <c r="H21" i="20"/>
  <c r="E31" i="20"/>
  <c r="D21" i="17"/>
  <c r="E149" i="21"/>
  <c r="E150" i="21"/>
  <c r="F149" i="21"/>
  <c r="F150" i="21"/>
  <c r="G149" i="21"/>
  <c r="G150" i="21"/>
  <c r="H149" i="21"/>
  <c r="H150" i="21"/>
  <c r="I149" i="21"/>
  <c r="I150" i="21"/>
  <c r="J149" i="21"/>
  <c r="J150" i="21"/>
  <c r="K149" i="21"/>
  <c r="K150" i="21"/>
  <c r="L149" i="21"/>
  <c r="L150" i="21"/>
  <c r="M149" i="21"/>
  <c r="M150" i="21"/>
  <c r="N149" i="21"/>
  <c r="N150" i="21"/>
  <c r="O149" i="21"/>
  <c r="O150" i="21"/>
  <c r="P149" i="21"/>
  <c r="P150" i="21"/>
  <c r="Q149" i="21"/>
  <c r="Q150" i="21"/>
  <c r="R149" i="21"/>
  <c r="R150" i="21"/>
  <c r="S149" i="21"/>
  <c r="S150" i="21"/>
  <c r="D122" i="20"/>
  <c r="E149" i="20"/>
  <c r="E150" i="20"/>
  <c r="F149" i="20"/>
  <c r="F150" i="20"/>
  <c r="G149" i="20"/>
  <c r="G150" i="20"/>
  <c r="H149" i="20"/>
  <c r="H150" i="20"/>
  <c r="I149" i="20"/>
  <c r="I150" i="20"/>
  <c r="J149" i="20"/>
  <c r="J150" i="20"/>
  <c r="K149" i="20"/>
  <c r="K150" i="20"/>
  <c r="L149" i="20"/>
  <c r="L150" i="20"/>
  <c r="M149" i="20"/>
  <c r="M150" i="20"/>
  <c r="E149" i="17"/>
  <c r="E150" i="17"/>
  <c r="F149" i="17"/>
  <c r="F150" i="17"/>
  <c r="G149" i="17"/>
  <c r="G150" i="17"/>
  <c r="H149" i="17"/>
  <c r="H150" i="17"/>
  <c r="I149" i="17"/>
  <c r="I150" i="17"/>
  <c r="J149" i="17"/>
  <c r="J150" i="17"/>
  <c r="K149" i="17"/>
  <c r="K150" i="17"/>
  <c r="L149" i="17"/>
  <c r="L150" i="17"/>
  <c r="M149" i="17"/>
  <c r="M150" i="17"/>
  <c r="N149" i="17"/>
  <c r="N150" i="17"/>
  <c r="O149" i="17"/>
  <c r="O150" i="17"/>
  <c r="P149" i="17"/>
  <c r="P150" i="17"/>
  <c r="Q149" i="17"/>
  <c r="Q150" i="17"/>
  <c r="R149" i="17"/>
  <c r="R150" i="17"/>
  <c r="S149" i="17"/>
  <c r="S150" i="17"/>
  <c r="E138" i="21"/>
  <c r="E139" i="21"/>
  <c r="E138" i="20"/>
  <c r="E139" i="20"/>
  <c r="F138" i="20"/>
  <c r="F139" i="20"/>
  <c r="G138" i="20"/>
  <c r="G139" i="20"/>
  <c r="H138" i="20"/>
  <c r="H139" i="20"/>
  <c r="I138" i="20"/>
  <c r="I139" i="20"/>
  <c r="J138" i="20"/>
  <c r="J139" i="20"/>
  <c r="K138" i="20"/>
  <c r="K139" i="20"/>
  <c r="L138" i="20"/>
  <c r="L139" i="20"/>
  <c r="M138" i="20"/>
  <c r="M139" i="20"/>
  <c r="E118" i="21"/>
  <c r="E116" i="21"/>
  <c r="E117" i="21"/>
  <c r="F138" i="21"/>
  <c r="F139" i="21"/>
  <c r="G138" i="21"/>
  <c r="G139" i="21"/>
  <c r="H138" i="21"/>
  <c r="H139" i="21"/>
  <c r="I138" i="21"/>
  <c r="I139" i="21"/>
  <c r="J138" i="21"/>
  <c r="J139" i="21"/>
  <c r="K138" i="21"/>
  <c r="K139" i="21"/>
  <c r="L138" i="21"/>
  <c r="L139" i="21"/>
  <c r="M138" i="21"/>
  <c r="M139" i="21"/>
  <c r="N138" i="21"/>
  <c r="N139" i="21"/>
  <c r="O138" i="21"/>
  <c r="O139" i="21"/>
  <c r="P138" i="21"/>
  <c r="P139" i="21"/>
  <c r="Q138" i="21"/>
  <c r="Q139" i="21"/>
  <c r="R138" i="21"/>
  <c r="R139" i="21"/>
  <c r="S138" i="21"/>
  <c r="S139" i="21"/>
  <c r="D167" i="20"/>
  <c r="E117" i="20"/>
  <c r="E116" i="20"/>
  <c r="E116" i="17"/>
  <c r="E115" i="11"/>
  <c r="G6" i="4"/>
  <c r="G19" i="4"/>
  <c r="H46" i="4"/>
  <c r="H60" i="4"/>
  <c r="H73" i="4"/>
  <c r="H87" i="4"/>
  <c r="H114" i="4"/>
  <c r="D95" i="11"/>
  <c r="D143" i="11"/>
  <c r="H67" i="20"/>
  <c r="D100" i="20"/>
  <c r="E33" i="20"/>
  <c r="D141" i="20"/>
  <c r="E191" i="20"/>
  <c r="J191" i="20"/>
  <c r="F191" i="20"/>
  <c r="M191" i="20"/>
  <c r="I191" i="20"/>
  <c r="L191" i="20"/>
  <c r="H191" i="20"/>
  <c r="D97" i="20"/>
  <c r="K191" i="20"/>
  <c r="G191" i="20"/>
  <c r="G109" i="21"/>
  <c r="O154" i="21"/>
  <c r="D89" i="21"/>
  <c r="H62" i="21"/>
  <c r="D101" i="21"/>
  <c r="H67" i="21"/>
  <c r="D141" i="21"/>
  <c r="H57" i="17"/>
  <c r="H57" i="11"/>
  <c r="L21" i="21"/>
  <c r="K21" i="20"/>
  <c r="D71" i="20"/>
  <c r="K21" i="17"/>
  <c r="D70" i="17"/>
  <c r="L21" i="17"/>
  <c r="D196" i="21"/>
  <c r="D135" i="21"/>
  <c r="G89" i="21"/>
  <c r="G88" i="21"/>
  <c r="M184" i="21"/>
  <c r="D72" i="21"/>
  <c r="G94" i="21"/>
  <c r="G183" i="21"/>
  <c r="G189" i="21"/>
  <c r="L9" i="20"/>
  <c r="L21" i="20"/>
  <c r="G94" i="20"/>
  <c r="G100" i="20"/>
  <c r="G102" i="20"/>
  <c r="D71" i="17"/>
  <c r="G92" i="17"/>
  <c r="H181" i="17"/>
  <c r="H187" i="17"/>
  <c r="K181" i="17"/>
  <c r="K187" i="17"/>
  <c r="D194" i="17"/>
  <c r="N181" i="17"/>
  <c r="N187" i="17"/>
  <c r="L21" i="11"/>
  <c r="G92" i="11"/>
  <c r="P128" i="11"/>
  <c r="D91" i="20"/>
  <c r="D92" i="17"/>
  <c r="D94" i="21"/>
  <c r="D94" i="20"/>
  <c r="G33" i="21"/>
  <c r="G31" i="17"/>
  <c r="G33" i="20"/>
  <c r="G31" i="20"/>
  <c r="D91" i="17"/>
  <c r="D90" i="17"/>
  <c r="H57" i="20"/>
  <c r="G31" i="11"/>
  <c r="G31" i="21"/>
  <c r="D91" i="21"/>
  <c r="H57" i="21"/>
  <c r="D91" i="11"/>
  <c r="D134" i="17"/>
  <c r="D89" i="20"/>
  <c r="I128" i="11"/>
  <c r="I166" i="11"/>
  <c r="G109" i="11"/>
  <c r="G94" i="17"/>
  <c r="G108" i="17"/>
  <c r="J154" i="17"/>
  <c r="G87" i="17"/>
  <c r="F182" i="17"/>
  <c r="G89" i="20"/>
  <c r="G88" i="20"/>
  <c r="L184" i="20"/>
  <c r="D135" i="20"/>
  <c r="L184" i="21"/>
  <c r="L190" i="21"/>
  <c r="K184" i="21"/>
  <c r="K190" i="21"/>
  <c r="D88" i="17"/>
  <c r="P184" i="21"/>
  <c r="P190" i="21"/>
  <c r="I184" i="21"/>
  <c r="Q184" i="21"/>
  <c r="J184" i="21"/>
  <c r="J190" i="21"/>
  <c r="R184" i="21"/>
  <c r="R190" i="21"/>
  <c r="M183" i="21"/>
  <c r="M189" i="21"/>
  <c r="S184" i="21"/>
  <c r="S190" i="21"/>
  <c r="O183" i="21"/>
  <c r="O189" i="21"/>
  <c r="L183" i="21"/>
  <c r="L189" i="21"/>
  <c r="G184" i="20"/>
  <c r="G190" i="20"/>
  <c r="J183" i="20"/>
  <c r="J189" i="20"/>
  <c r="I184" i="20"/>
  <c r="I190" i="20"/>
  <c r="I183" i="20"/>
  <c r="I189" i="20"/>
  <c r="H184" i="20"/>
  <c r="H190" i="20"/>
  <c r="E183" i="20"/>
  <c r="E189" i="20"/>
  <c r="Q154" i="21"/>
  <c r="F154" i="21"/>
  <c r="J154" i="21"/>
  <c r="K154" i="21"/>
  <c r="M154" i="21"/>
  <c r="E154" i="21"/>
  <c r="G154" i="21"/>
  <c r="S154" i="21"/>
  <c r="H154" i="21"/>
  <c r="D93" i="21"/>
  <c r="D90" i="21"/>
  <c r="G105" i="21"/>
  <c r="O184" i="21"/>
  <c r="O186" i="21"/>
  <c r="G184" i="21"/>
  <c r="G186" i="21"/>
  <c r="F184" i="21"/>
  <c r="F190" i="21"/>
  <c r="N184" i="21"/>
  <c r="I154" i="21"/>
  <c r="I183" i="21"/>
  <c r="I189" i="21"/>
  <c r="Q183" i="21"/>
  <c r="Q189" i="21"/>
  <c r="F183" i="21"/>
  <c r="N183" i="21"/>
  <c r="N189" i="21"/>
  <c r="H184" i="21"/>
  <c r="H190" i="21"/>
  <c r="E184" i="21"/>
  <c r="K183" i="21"/>
  <c r="K189" i="21"/>
  <c r="S183" i="21"/>
  <c r="S189" i="21"/>
  <c r="H183" i="21"/>
  <c r="H189" i="21"/>
  <c r="P183" i="21"/>
  <c r="P189" i="21"/>
  <c r="E183" i="21"/>
  <c r="E189" i="21"/>
  <c r="G100" i="21"/>
  <c r="G102" i="21"/>
  <c r="J183" i="21"/>
  <c r="R183" i="21"/>
  <c r="P154" i="21"/>
  <c r="N154" i="21"/>
  <c r="L154" i="21"/>
  <c r="R154" i="21"/>
  <c r="D72" i="20"/>
  <c r="L183" i="20"/>
  <c r="L189" i="20"/>
  <c r="G183" i="20"/>
  <c r="G189" i="20"/>
  <c r="K184" i="20"/>
  <c r="K190" i="20"/>
  <c r="K183" i="20"/>
  <c r="K189" i="20"/>
  <c r="F183" i="20"/>
  <c r="F189" i="20"/>
  <c r="F184" i="20"/>
  <c r="F190" i="20"/>
  <c r="M183" i="20"/>
  <c r="M189" i="20"/>
  <c r="H183" i="20"/>
  <c r="H189" i="20"/>
  <c r="I181" i="17"/>
  <c r="I187" i="17"/>
  <c r="P181" i="17"/>
  <c r="P187" i="17"/>
  <c r="G181" i="17"/>
  <c r="G187" i="17"/>
  <c r="J181" i="17"/>
  <c r="J187" i="17"/>
  <c r="R181" i="17"/>
  <c r="R187" i="17"/>
  <c r="S181" i="17"/>
  <c r="S187" i="17"/>
  <c r="Q181" i="17"/>
  <c r="Q187" i="17"/>
  <c r="G99" i="17"/>
  <c r="G101" i="17"/>
  <c r="E181" i="17"/>
  <c r="E187" i="17"/>
  <c r="F181" i="17"/>
  <c r="F187" i="17"/>
  <c r="G104" i="17"/>
  <c r="D89" i="17"/>
  <c r="L181" i="17"/>
  <c r="L187" i="17"/>
  <c r="O181" i="17"/>
  <c r="O187" i="17"/>
  <c r="M181" i="17"/>
  <c r="M187" i="17"/>
  <c r="D72" i="11"/>
  <c r="D90" i="11"/>
  <c r="L128" i="11"/>
  <c r="L166" i="11"/>
  <c r="N128" i="11"/>
  <c r="N166" i="11"/>
  <c r="Q128" i="11"/>
  <c r="Q166" i="11"/>
  <c r="J128" i="11"/>
  <c r="J166" i="11"/>
  <c r="G99" i="11"/>
  <c r="G101" i="11"/>
  <c r="F168" i="11"/>
  <c r="G94" i="11"/>
  <c r="M128" i="11"/>
  <c r="M166" i="11"/>
  <c r="E166" i="11"/>
  <c r="F128" i="11"/>
  <c r="O128" i="11"/>
  <c r="O166" i="11"/>
  <c r="G128" i="11"/>
  <c r="G166" i="11"/>
  <c r="H128" i="11"/>
  <c r="H166" i="11"/>
  <c r="R128" i="11"/>
  <c r="S128" i="11"/>
  <c r="S166" i="11"/>
  <c r="K128" i="11"/>
  <c r="K166" i="11"/>
  <c r="D89" i="11"/>
  <c r="N182" i="17"/>
  <c r="N188" i="17"/>
  <c r="L182" i="17"/>
  <c r="L188" i="17"/>
  <c r="J182" i="17"/>
  <c r="J188" i="17"/>
  <c r="R182" i="17"/>
  <c r="R188" i="17"/>
  <c r="R166" i="11"/>
  <c r="P166" i="11"/>
  <c r="F166" i="11"/>
  <c r="N168" i="11"/>
  <c r="M168" i="11"/>
  <c r="E168" i="11"/>
  <c r="G168" i="11"/>
  <c r="S168" i="11"/>
  <c r="Q168" i="11"/>
  <c r="L168" i="11"/>
  <c r="L190" i="20"/>
  <c r="I182" i="17"/>
  <c r="M182" i="17"/>
  <c r="Q182" i="17"/>
  <c r="G182" i="17"/>
  <c r="K182" i="17"/>
  <c r="O182" i="17"/>
  <c r="S182" i="17"/>
  <c r="E190" i="21"/>
  <c r="M186" i="21"/>
  <c r="M190" i="21"/>
  <c r="P182" i="17"/>
  <c r="H182" i="17"/>
  <c r="I190" i="21"/>
  <c r="N184" i="17"/>
  <c r="F188" i="17"/>
  <c r="M184" i="20"/>
  <c r="M190" i="20"/>
  <c r="E184" i="20"/>
  <c r="E190" i="20"/>
  <c r="D196" i="20"/>
  <c r="J184" i="20"/>
  <c r="J190" i="20"/>
  <c r="I186" i="21"/>
  <c r="H186" i="21"/>
  <c r="G190" i="21"/>
  <c r="K157" i="21"/>
  <c r="Q186" i="21"/>
  <c r="G105" i="11"/>
  <c r="P168" i="11"/>
  <c r="O168" i="11"/>
  <c r="R168" i="11"/>
  <c r="J168" i="11"/>
  <c r="Q190" i="21"/>
  <c r="H168" i="11"/>
  <c r="K168" i="11"/>
  <c r="I168" i="11"/>
  <c r="O154" i="17"/>
  <c r="Q154" i="17"/>
  <c r="G154" i="17"/>
  <c r="I154" i="17"/>
  <c r="F154" i="17"/>
  <c r="N154" i="17"/>
  <c r="M154" i="17"/>
  <c r="S154" i="17"/>
  <c r="H154" i="17"/>
  <c r="L154" i="17"/>
  <c r="P154" i="17"/>
  <c r="E154" i="17"/>
  <c r="K154" i="17"/>
  <c r="F157" i="17"/>
  <c r="R154" i="17"/>
  <c r="P186" i="21"/>
  <c r="K186" i="21"/>
  <c r="J186" i="20"/>
  <c r="L184" i="17"/>
  <c r="J184" i="17"/>
  <c r="D192" i="17"/>
  <c r="D147" i="21"/>
  <c r="D161" i="21"/>
  <c r="D162" i="21"/>
  <c r="D163" i="21"/>
  <c r="O157" i="21"/>
  <c r="L186" i="21"/>
  <c r="S186" i="21"/>
  <c r="O190" i="21"/>
  <c r="I186" i="20"/>
  <c r="D194" i="20"/>
  <c r="F186" i="20"/>
  <c r="G186" i="20"/>
  <c r="H186" i="20"/>
  <c r="M186" i="20"/>
  <c r="J157" i="21"/>
  <c r="F189" i="21"/>
  <c r="F186" i="21"/>
  <c r="N186" i="21"/>
  <c r="N190" i="21"/>
  <c r="D195" i="21"/>
  <c r="R153" i="21"/>
  <c r="R155" i="21"/>
  <c r="O131" i="21"/>
  <c r="F131" i="21"/>
  <c r="L131" i="21"/>
  <c r="L153" i="21"/>
  <c r="L155" i="21"/>
  <c r="Q153" i="21"/>
  <c r="Q155" i="21"/>
  <c r="Q131" i="21"/>
  <c r="N131" i="21"/>
  <c r="N153" i="21"/>
  <c r="N155" i="21"/>
  <c r="M131" i="21"/>
  <c r="G131" i="21"/>
  <c r="I131" i="21"/>
  <c r="R131" i="21"/>
  <c r="S153" i="21"/>
  <c r="S155" i="21"/>
  <c r="G153" i="21"/>
  <c r="G155" i="21"/>
  <c r="O153" i="21"/>
  <c r="O155" i="21"/>
  <c r="E131" i="21"/>
  <c r="P131" i="21"/>
  <c r="H131" i="21"/>
  <c r="E153" i="21"/>
  <c r="E155" i="21"/>
  <c r="S131" i="21"/>
  <c r="J131" i="21"/>
  <c r="I153" i="21"/>
  <c r="I155" i="21"/>
  <c r="K131" i="21"/>
  <c r="M153" i="21"/>
  <c r="M155" i="21"/>
  <c r="H153" i="21"/>
  <c r="H155" i="21"/>
  <c r="K153" i="21"/>
  <c r="K155" i="21"/>
  <c r="K158" i="21"/>
  <c r="K159" i="21"/>
  <c r="K161" i="21"/>
  <c r="K162" i="21"/>
  <c r="P153" i="21"/>
  <c r="P155" i="21"/>
  <c r="F153" i="21"/>
  <c r="F155" i="21"/>
  <c r="J153" i="21"/>
  <c r="J155" i="21"/>
  <c r="Q157" i="21"/>
  <c r="E186" i="21"/>
  <c r="R189" i="21"/>
  <c r="R186" i="21"/>
  <c r="J189" i="21"/>
  <c r="J186" i="21"/>
  <c r="K186" i="20"/>
  <c r="L186" i="20"/>
  <c r="G105" i="20"/>
  <c r="D90" i="20"/>
  <c r="R184" i="17"/>
  <c r="F184" i="17"/>
  <c r="L153" i="17"/>
  <c r="S153" i="17"/>
  <c r="I130" i="17"/>
  <c r="J130" i="17"/>
  <c r="Q153" i="17"/>
  <c r="Q155" i="17"/>
  <c r="F153" i="17"/>
  <c r="F155" i="17"/>
  <c r="P130" i="17"/>
  <c r="N153" i="17"/>
  <c r="N155" i="17"/>
  <c r="Q130" i="17"/>
  <c r="G153" i="17"/>
  <c r="M153" i="17"/>
  <c r="R153" i="17"/>
  <c r="I153" i="17"/>
  <c r="H130" i="17"/>
  <c r="K153" i="17"/>
  <c r="K155" i="17"/>
  <c r="R130" i="17"/>
  <c r="M130" i="17"/>
  <c r="O130" i="17"/>
  <c r="E153" i="17"/>
  <c r="P153" i="17"/>
  <c r="N130" i="17"/>
  <c r="H153" i="17"/>
  <c r="H155" i="17"/>
  <c r="E130" i="17"/>
  <c r="L130" i="17"/>
  <c r="G130" i="17"/>
  <c r="O153" i="17"/>
  <c r="O155" i="17"/>
  <c r="K130" i="17"/>
  <c r="F130" i="17"/>
  <c r="S130" i="17"/>
  <c r="J153" i="17"/>
  <c r="J155" i="17"/>
  <c r="D109" i="11"/>
  <c r="D126" i="11"/>
  <c r="D137" i="11"/>
  <c r="D138" i="11"/>
  <c r="D139" i="11"/>
  <c r="G87" i="11"/>
  <c r="I134" i="11"/>
  <c r="K134" i="11"/>
  <c r="Q134" i="11"/>
  <c r="R134" i="11"/>
  <c r="J134" i="11"/>
  <c r="L134" i="11"/>
  <c r="N134" i="11"/>
  <c r="S134" i="11"/>
  <c r="O134" i="11"/>
  <c r="P134" i="11"/>
  <c r="G134" i="11"/>
  <c r="M134" i="11"/>
  <c r="F134" i="11"/>
  <c r="E134" i="11"/>
  <c r="H134" i="11"/>
  <c r="E133" i="11"/>
  <c r="O133" i="11"/>
  <c r="O135" i="11"/>
  <c r="P133" i="11"/>
  <c r="P135" i="11"/>
  <c r="R133" i="11"/>
  <c r="L133" i="11"/>
  <c r="H133" i="11"/>
  <c r="I133" i="11"/>
  <c r="N133" i="11"/>
  <c r="N135" i="11"/>
  <c r="F133" i="11"/>
  <c r="Q133" i="11"/>
  <c r="S133" i="11"/>
  <c r="G133" i="11"/>
  <c r="G135" i="11"/>
  <c r="J133" i="11"/>
  <c r="K133" i="11"/>
  <c r="M133" i="11"/>
  <c r="D172" i="11"/>
  <c r="O188" i="17"/>
  <c r="O184" i="17"/>
  <c r="M188" i="17"/>
  <c r="M184" i="17"/>
  <c r="D195" i="20"/>
  <c r="E184" i="17"/>
  <c r="E188" i="17"/>
  <c r="H184" i="17"/>
  <c r="H188" i="17"/>
  <c r="K188" i="17"/>
  <c r="K184" i="17"/>
  <c r="I188" i="17"/>
  <c r="I184" i="17"/>
  <c r="P184" i="17"/>
  <c r="P188" i="17"/>
  <c r="G188" i="17"/>
  <c r="G184" i="17"/>
  <c r="S188" i="17"/>
  <c r="S184" i="17"/>
  <c r="Q188" i="17"/>
  <c r="Q184" i="17"/>
  <c r="M155" i="17"/>
  <c r="G155" i="17"/>
  <c r="E186" i="20"/>
  <c r="D129" i="21"/>
  <c r="D131" i="21"/>
  <c r="D132" i="21"/>
  <c r="I157" i="21"/>
  <c r="N157" i="21"/>
  <c r="E157" i="21"/>
  <c r="E158" i="21"/>
  <c r="E159" i="21"/>
  <c r="E161" i="21"/>
  <c r="E162" i="21"/>
  <c r="E163" i="21"/>
  <c r="G157" i="21"/>
  <c r="G158" i="21"/>
  <c r="G159" i="21"/>
  <c r="G161" i="21"/>
  <c r="G162" i="21"/>
  <c r="S157" i="21"/>
  <c r="F157" i="21"/>
  <c r="F158" i="21"/>
  <c r="F159" i="21"/>
  <c r="F161" i="21"/>
  <c r="F162" i="21"/>
  <c r="M157" i="21"/>
  <c r="R157" i="21"/>
  <c r="L157" i="21"/>
  <c r="H157" i="21"/>
  <c r="P157" i="21"/>
  <c r="P158" i="21"/>
  <c r="P159" i="21"/>
  <c r="P161" i="21"/>
  <c r="P162" i="21"/>
  <c r="S157" i="17"/>
  <c r="N157" i="17"/>
  <c r="D174" i="11"/>
  <c r="M131" i="11"/>
  <c r="P131" i="11"/>
  <c r="P137" i="11"/>
  <c r="P138" i="11"/>
  <c r="I167" i="11"/>
  <c r="E155" i="17"/>
  <c r="E157" i="17"/>
  <c r="L155" i="17"/>
  <c r="J157" i="17"/>
  <c r="K157" i="17"/>
  <c r="Q157" i="17"/>
  <c r="Q158" i="17"/>
  <c r="Q159" i="17"/>
  <c r="Q161" i="17"/>
  <c r="Q162" i="17"/>
  <c r="D128" i="17"/>
  <c r="D130" i="17"/>
  <c r="D131" i="17"/>
  <c r="I157" i="17"/>
  <c r="I155" i="17"/>
  <c r="I158" i="17"/>
  <c r="I159" i="17"/>
  <c r="I161" i="17"/>
  <c r="I162" i="17"/>
  <c r="G157" i="17"/>
  <c r="L157" i="17"/>
  <c r="L158" i="17"/>
  <c r="L159" i="17"/>
  <c r="L161" i="17"/>
  <c r="L162" i="17"/>
  <c r="M157" i="17"/>
  <c r="M158" i="17"/>
  <c r="M159" i="17"/>
  <c r="M161" i="17"/>
  <c r="M162" i="17"/>
  <c r="H157" i="17"/>
  <c r="H158" i="17"/>
  <c r="H159" i="17"/>
  <c r="H161" i="17"/>
  <c r="H162" i="17"/>
  <c r="P157" i="17"/>
  <c r="R157" i="17"/>
  <c r="D147" i="17"/>
  <c r="D161" i="17"/>
  <c r="D162" i="17"/>
  <c r="O157" i="17"/>
  <c r="O158" i="17"/>
  <c r="O159" i="17"/>
  <c r="O161" i="17"/>
  <c r="O162" i="17"/>
  <c r="P155" i="17"/>
  <c r="S155" i="17"/>
  <c r="R155" i="17"/>
  <c r="N158" i="21"/>
  <c r="N159" i="21"/>
  <c r="N161" i="21"/>
  <c r="N162" i="21"/>
  <c r="R158" i="21"/>
  <c r="R159" i="21"/>
  <c r="R161" i="21"/>
  <c r="R162" i="21"/>
  <c r="H158" i="21"/>
  <c r="H159" i="21"/>
  <c r="H161" i="21"/>
  <c r="H162" i="21"/>
  <c r="M158" i="21"/>
  <c r="M159" i="21"/>
  <c r="M161" i="21"/>
  <c r="M162" i="21"/>
  <c r="S158" i="21"/>
  <c r="S159" i="21"/>
  <c r="S161" i="21"/>
  <c r="S162" i="21"/>
  <c r="N158" i="17"/>
  <c r="N159" i="17"/>
  <c r="N161" i="17"/>
  <c r="N162" i="17"/>
  <c r="J158" i="17"/>
  <c r="J159" i="17"/>
  <c r="J161" i="17"/>
  <c r="J162" i="17"/>
  <c r="O158" i="21"/>
  <c r="O159" i="21"/>
  <c r="O161" i="21"/>
  <c r="O162" i="21"/>
  <c r="D193" i="21"/>
  <c r="D194" i="21"/>
  <c r="D193" i="20"/>
  <c r="L158" i="21"/>
  <c r="L159" i="21"/>
  <c r="L161" i="21"/>
  <c r="L162" i="21"/>
  <c r="J158" i="21"/>
  <c r="J159" i="21"/>
  <c r="J161" i="21"/>
  <c r="J162" i="21"/>
  <c r="Q158" i="21"/>
  <c r="Q159" i="21"/>
  <c r="Q161" i="21"/>
  <c r="Q162" i="21"/>
  <c r="I158" i="21"/>
  <c r="I159" i="21"/>
  <c r="I161" i="21"/>
  <c r="I162" i="21"/>
  <c r="E157" i="20"/>
  <c r="E153" i="20"/>
  <c r="G131" i="20"/>
  <c r="M131" i="20"/>
  <c r="J131" i="20"/>
  <c r="L131" i="20"/>
  <c r="H131" i="20"/>
  <c r="K153" i="20"/>
  <c r="G153" i="20"/>
  <c r="E131" i="20"/>
  <c r="I153" i="20"/>
  <c r="I131" i="20"/>
  <c r="F131" i="20"/>
  <c r="M153" i="20"/>
  <c r="H153" i="20"/>
  <c r="L153" i="20"/>
  <c r="K131" i="20"/>
  <c r="F153" i="20"/>
  <c r="J153" i="20"/>
  <c r="H154" i="20"/>
  <c r="F154" i="20"/>
  <c r="M154" i="20"/>
  <c r="G154" i="20"/>
  <c r="L154" i="20"/>
  <c r="J154" i="20"/>
  <c r="K154" i="20"/>
  <c r="I154" i="20"/>
  <c r="E154" i="20"/>
  <c r="K158" i="17"/>
  <c r="K159" i="17"/>
  <c r="K161" i="17"/>
  <c r="K162" i="17"/>
  <c r="G158" i="17"/>
  <c r="G159" i="17"/>
  <c r="G161" i="17"/>
  <c r="G162" i="17"/>
  <c r="P158" i="17"/>
  <c r="P159" i="17"/>
  <c r="P161" i="17"/>
  <c r="P162" i="17"/>
  <c r="F158" i="17"/>
  <c r="F159" i="17"/>
  <c r="F161" i="17"/>
  <c r="I135" i="11"/>
  <c r="K131" i="11"/>
  <c r="E131" i="11"/>
  <c r="J135" i="11"/>
  <c r="O167" i="11"/>
  <c r="R167" i="11"/>
  <c r="J167" i="11"/>
  <c r="L167" i="11"/>
  <c r="F167" i="11"/>
  <c r="H131" i="11"/>
  <c r="M135" i="11"/>
  <c r="S135" i="11"/>
  <c r="E135" i="11"/>
  <c r="Q131" i="11"/>
  <c r="R135" i="11"/>
  <c r="G131" i="11"/>
  <c r="G137" i="11"/>
  <c r="G138" i="11"/>
  <c r="G167" i="11"/>
  <c r="P167" i="11"/>
  <c r="K135" i="11"/>
  <c r="Q135" i="11"/>
  <c r="H135" i="11"/>
  <c r="F135" i="11"/>
  <c r="S167" i="11"/>
  <c r="S131" i="11"/>
  <c r="N167" i="11"/>
  <c r="N131" i="11"/>
  <c r="N137" i="11"/>
  <c r="N138" i="11"/>
  <c r="L135" i="11"/>
  <c r="M167" i="11"/>
  <c r="D191" i="17"/>
  <c r="D193" i="17"/>
  <c r="D163" i="17"/>
  <c r="F163" i="21"/>
  <c r="S158" i="17"/>
  <c r="S159" i="17"/>
  <c r="S161" i="17"/>
  <c r="S162" i="17"/>
  <c r="K167" i="11"/>
  <c r="J131" i="11"/>
  <c r="H167" i="11"/>
  <c r="I131" i="11"/>
  <c r="I137" i="11"/>
  <c r="I138" i="11"/>
  <c r="L131" i="11"/>
  <c r="O131" i="11"/>
  <c r="O137" i="11"/>
  <c r="O138" i="11"/>
  <c r="F131" i="11"/>
  <c r="F137" i="11"/>
  <c r="F138" i="11"/>
  <c r="E158" i="17"/>
  <c r="E159" i="17"/>
  <c r="E161" i="17"/>
  <c r="E162" i="17"/>
  <c r="E163" i="17"/>
  <c r="R158" i="17"/>
  <c r="R159" i="17"/>
  <c r="R161" i="17"/>
  <c r="R162" i="17"/>
  <c r="J137" i="11"/>
  <c r="J138" i="11"/>
  <c r="D168" i="21"/>
  <c r="L157" i="20"/>
  <c r="K157" i="20"/>
  <c r="G163" i="21"/>
  <c r="H163" i="21"/>
  <c r="I163" i="21"/>
  <c r="J163" i="21"/>
  <c r="K163" i="21"/>
  <c r="L163" i="21"/>
  <c r="M163" i="21"/>
  <c r="N163" i="21"/>
  <c r="O163" i="21"/>
  <c r="P163" i="21"/>
  <c r="Q163" i="21"/>
  <c r="R163" i="21"/>
  <c r="S163" i="21"/>
  <c r="D167" i="21"/>
  <c r="D166" i="21"/>
  <c r="M157" i="20"/>
  <c r="H157" i="20"/>
  <c r="G157" i="20"/>
  <c r="I157" i="20"/>
  <c r="J157" i="20"/>
  <c r="D129" i="20"/>
  <c r="D131" i="20"/>
  <c r="D132" i="20"/>
  <c r="D147" i="20"/>
  <c r="D161" i="20"/>
  <c r="D162" i="20"/>
  <c r="F157" i="20"/>
  <c r="F155" i="20"/>
  <c r="E155" i="20"/>
  <c r="M155" i="20"/>
  <c r="G155" i="20"/>
  <c r="K155" i="20"/>
  <c r="L155" i="20"/>
  <c r="J155" i="20"/>
  <c r="H155" i="20"/>
  <c r="I155" i="20"/>
  <c r="E158" i="20"/>
  <c r="E159" i="20"/>
  <c r="E161" i="20"/>
  <c r="E162" i="20"/>
  <c r="F162" i="17"/>
  <c r="D166" i="17"/>
  <c r="S137" i="11"/>
  <c r="S138" i="11"/>
  <c r="R131" i="11"/>
  <c r="R137" i="11"/>
  <c r="R138" i="11"/>
  <c r="E138" i="11"/>
  <c r="M137" i="11"/>
  <c r="M138" i="11"/>
  <c r="Q137" i="11"/>
  <c r="Q138" i="11"/>
  <c r="Q167" i="11"/>
  <c r="D173" i="11"/>
  <c r="K137" i="11"/>
  <c r="K138" i="11"/>
  <c r="H137" i="11"/>
  <c r="L137" i="11"/>
  <c r="L138" i="11"/>
  <c r="D167" i="17"/>
  <c r="D168" i="17"/>
  <c r="M158" i="20"/>
  <c r="M159" i="20"/>
  <c r="M161" i="20"/>
  <c r="M162" i="20"/>
  <c r="F158" i="20"/>
  <c r="F159" i="20"/>
  <c r="F161" i="20"/>
  <c r="F162" i="20"/>
  <c r="J158" i="20"/>
  <c r="J159" i="20"/>
  <c r="J161" i="20"/>
  <c r="J162" i="20"/>
  <c r="I158" i="20"/>
  <c r="I159" i="20"/>
  <c r="I161" i="20"/>
  <c r="I162" i="20"/>
  <c r="H158" i="20"/>
  <c r="H159" i="20"/>
  <c r="H161" i="20"/>
  <c r="H162" i="20"/>
  <c r="K158" i="20"/>
  <c r="K159" i="20"/>
  <c r="K161" i="20"/>
  <c r="K162" i="20"/>
  <c r="L158" i="20"/>
  <c r="L159" i="20"/>
  <c r="L161" i="20"/>
  <c r="L162" i="20"/>
  <c r="G158" i="20"/>
  <c r="G159" i="20"/>
  <c r="G161" i="20"/>
  <c r="G162" i="20"/>
  <c r="D163" i="20"/>
  <c r="E163" i="20"/>
  <c r="F163" i="17"/>
  <c r="G163" i="17"/>
  <c r="H163" i="17"/>
  <c r="I163" i="17"/>
  <c r="J163" i="17"/>
  <c r="K163" i="17"/>
  <c r="L163" i="17"/>
  <c r="M163" i="17"/>
  <c r="N163" i="17"/>
  <c r="O163" i="17"/>
  <c r="P163" i="17"/>
  <c r="Q163" i="17"/>
  <c r="R163" i="17"/>
  <c r="S163" i="17"/>
  <c r="F139" i="11"/>
  <c r="G139" i="11"/>
  <c r="H138" i="11"/>
  <c r="D144" i="11"/>
  <c r="D142" i="11"/>
  <c r="D168" i="20"/>
  <c r="F163" i="20"/>
  <c r="G163" i="20"/>
  <c r="H163" i="20"/>
  <c r="I163" i="20"/>
  <c r="J163" i="20"/>
  <c r="K163" i="20"/>
  <c r="L163" i="20"/>
  <c r="M163" i="20"/>
  <c r="D166" i="20"/>
  <c r="H139" i="11"/>
  <c r="I139" i="11"/>
  <c r="J139" i="11"/>
  <c r="K139" i="11"/>
  <c r="L139" i="11"/>
  <c r="M139" i="11"/>
  <c r="N139" i="11"/>
  <c r="O139" i="11"/>
  <c r="P139" i="11"/>
  <c r="Q139" i="11"/>
  <c r="R139" i="11"/>
  <c r="S139" i="11"/>
</calcChain>
</file>

<file path=xl/comments1.xml><?xml version="1.0" encoding="utf-8"?>
<comments xmlns="http://schemas.openxmlformats.org/spreadsheetml/2006/main">
  <authors>
    <author>Simone Franzò</author>
  </authors>
  <commentList>
    <comment ref="F26" authorId="0">
      <text>
        <r>
          <rPr>
            <b/>
            <sz val="10"/>
            <color indexed="81"/>
            <rFont val="Calibri"/>
            <family val="2"/>
          </rPr>
          <t>E&amp;S: compilare con il numero di sensori che si intende installare</t>
        </r>
        <r>
          <rPr>
            <sz val="10"/>
            <color indexed="81"/>
            <rFont val="Calibri"/>
            <family val="2"/>
          </rPr>
          <t xml:space="preserve">
</t>
        </r>
      </text>
    </comment>
    <comment ref="G42" authorId="0">
      <text>
        <r>
          <rPr>
            <b/>
            <sz val="10"/>
            <color indexed="81"/>
            <rFont val="Calibri"/>
            <family val="2"/>
          </rPr>
          <t>E&amp;S: compilare con il numero di sensori che si intende installare</t>
        </r>
        <r>
          <rPr>
            <sz val="10"/>
            <color indexed="81"/>
            <rFont val="Calibri"/>
            <family val="2"/>
          </rPr>
          <t xml:space="preserve">
</t>
        </r>
      </text>
    </comment>
    <comment ref="G59" authorId="0">
      <text>
        <r>
          <rPr>
            <b/>
            <sz val="10"/>
            <color indexed="81"/>
            <rFont val="Calibri"/>
            <family val="2"/>
          </rPr>
          <t>E&amp;S: compilare con il numero di sensori che si intende installare</t>
        </r>
        <r>
          <rPr>
            <sz val="10"/>
            <color indexed="81"/>
            <rFont val="Calibri"/>
            <family val="2"/>
          </rPr>
          <t xml:space="preserve">
</t>
        </r>
      </text>
    </comment>
    <comment ref="G64" authorId="0">
      <text>
        <r>
          <rPr>
            <b/>
            <sz val="10"/>
            <color indexed="81"/>
            <rFont val="Calibri"/>
            <family val="2"/>
          </rPr>
          <t>E&amp;S: compilare con il numero di sensori che si intende installare</t>
        </r>
        <r>
          <rPr>
            <sz val="10"/>
            <color indexed="81"/>
            <rFont val="Calibri"/>
            <family val="2"/>
          </rPr>
          <t xml:space="preserve">
</t>
        </r>
      </text>
    </comment>
  </commentList>
</comments>
</file>

<file path=xl/comments2.xml><?xml version="1.0" encoding="utf-8"?>
<comments xmlns="http://schemas.openxmlformats.org/spreadsheetml/2006/main">
  <authors>
    <author>Simone Franzò</author>
  </authors>
  <commentList>
    <comment ref="F26" authorId="0">
      <text>
        <r>
          <rPr>
            <b/>
            <sz val="10"/>
            <color indexed="81"/>
            <rFont val="Calibri"/>
            <family val="2"/>
          </rPr>
          <t>E&amp;S: compilare con il numero di sensori che si intende installare</t>
        </r>
        <r>
          <rPr>
            <sz val="10"/>
            <color indexed="81"/>
            <rFont val="Calibri"/>
            <family val="2"/>
          </rPr>
          <t xml:space="preserve">
</t>
        </r>
      </text>
    </comment>
    <comment ref="G42" authorId="0">
      <text>
        <r>
          <rPr>
            <b/>
            <sz val="10"/>
            <color indexed="81"/>
            <rFont val="Calibri"/>
            <family val="2"/>
          </rPr>
          <t>E&amp;S: compilare con il numero di sensori che si intende installare</t>
        </r>
        <r>
          <rPr>
            <sz val="10"/>
            <color indexed="81"/>
            <rFont val="Calibri"/>
            <family val="2"/>
          </rPr>
          <t xml:space="preserve">
</t>
        </r>
      </text>
    </comment>
    <comment ref="G59" authorId="0">
      <text>
        <r>
          <rPr>
            <b/>
            <sz val="10"/>
            <color indexed="81"/>
            <rFont val="Calibri"/>
            <family val="2"/>
          </rPr>
          <t>E&amp;S: compilare con il numero di sensori che si intende installare</t>
        </r>
        <r>
          <rPr>
            <sz val="10"/>
            <color indexed="81"/>
            <rFont val="Calibri"/>
            <family val="2"/>
          </rPr>
          <t xml:space="preserve">
</t>
        </r>
      </text>
    </comment>
    <comment ref="G64" authorId="0">
      <text>
        <r>
          <rPr>
            <b/>
            <sz val="10"/>
            <color indexed="81"/>
            <rFont val="Calibri"/>
            <family val="2"/>
          </rPr>
          <t>E&amp;S: compilare con il numero di sensori che si intende installare</t>
        </r>
        <r>
          <rPr>
            <sz val="10"/>
            <color indexed="81"/>
            <rFont val="Calibri"/>
            <family val="2"/>
          </rPr>
          <t xml:space="preserve">
</t>
        </r>
      </text>
    </comment>
  </commentList>
</comments>
</file>

<file path=xl/comments3.xml><?xml version="1.0" encoding="utf-8"?>
<comments xmlns="http://schemas.openxmlformats.org/spreadsheetml/2006/main">
  <authors>
    <author>Simone Franzò</author>
  </authors>
  <commentList>
    <comment ref="F26" authorId="0">
      <text>
        <r>
          <rPr>
            <b/>
            <sz val="10"/>
            <color indexed="81"/>
            <rFont val="Calibri"/>
            <family val="2"/>
          </rPr>
          <t>E&amp;S: compilare con il numero di sensori che si intende installare</t>
        </r>
        <r>
          <rPr>
            <sz val="10"/>
            <color indexed="81"/>
            <rFont val="Calibri"/>
            <family val="2"/>
          </rPr>
          <t xml:space="preserve">
</t>
        </r>
      </text>
    </comment>
    <comment ref="G42" authorId="0">
      <text>
        <r>
          <rPr>
            <b/>
            <sz val="10"/>
            <color indexed="81"/>
            <rFont val="Calibri"/>
            <family val="2"/>
          </rPr>
          <t>E&amp;S: compilare con il numero di sensori che si intende installare</t>
        </r>
        <r>
          <rPr>
            <sz val="10"/>
            <color indexed="81"/>
            <rFont val="Calibri"/>
            <family val="2"/>
          </rPr>
          <t xml:space="preserve">
</t>
        </r>
      </text>
    </comment>
    <comment ref="G59" authorId="0">
      <text>
        <r>
          <rPr>
            <b/>
            <sz val="10"/>
            <color indexed="81"/>
            <rFont val="Calibri"/>
            <family val="2"/>
          </rPr>
          <t>E&amp;S: compilare con il numero di sensori che si intende installare</t>
        </r>
        <r>
          <rPr>
            <sz val="10"/>
            <color indexed="81"/>
            <rFont val="Calibri"/>
            <family val="2"/>
          </rPr>
          <t xml:space="preserve">
</t>
        </r>
      </text>
    </comment>
    <comment ref="G64" authorId="0">
      <text>
        <r>
          <rPr>
            <b/>
            <sz val="10"/>
            <color indexed="81"/>
            <rFont val="Calibri"/>
            <family val="2"/>
          </rPr>
          <t>E&amp;S: compilare con il numero di sensori che si intende installare</t>
        </r>
        <r>
          <rPr>
            <sz val="10"/>
            <color indexed="81"/>
            <rFont val="Calibri"/>
            <family val="2"/>
          </rPr>
          <t xml:space="preserve">
</t>
        </r>
      </text>
    </comment>
  </commentList>
</comments>
</file>

<file path=xl/comments4.xml><?xml version="1.0" encoding="utf-8"?>
<comments xmlns="http://schemas.openxmlformats.org/spreadsheetml/2006/main">
  <authors>
    <author>Simone Franzò</author>
  </authors>
  <commentList>
    <comment ref="F26" authorId="0">
      <text>
        <r>
          <rPr>
            <b/>
            <sz val="10"/>
            <color indexed="81"/>
            <rFont val="Calibri"/>
            <family val="2"/>
          </rPr>
          <t>E&amp;S: compilare con il numero di sensori che si intende installare</t>
        </r>
        <r>
          <rPr>
            <sz val="10"/>
            <color indexed="81"/>
            <rFont val="Calibri"/>
            <family val="2"/>
          </rPr>
          <t xml:space="preserve">
</t>
        </r>
      </text>
    </comment>
    <comment ref="G42" authorId="0">
      <text>
        <r>
          <rPr>
            <b/>
            <sz val="10"/>
            <color indexed="81"/>
            <rFont val="Calibri"/>
            <family val="2"/>
          </rPr>
          <t>E&amp;S: compilare con il numero di sensori che si intende installare</t>
        </r>
        <r>
          <rPr>
            <sz val="10"/>
            <color indexed="81"/>
            <rFont val="Calibri"/>
            <family val="2"/>
          </rPr>
          <t xml:space="preserve">
</t>
        </r>
      </text>
    </comment>
    <comment ref="G59" authorId="0">
      <text>
        <r>
          <rPr>
            <b/>
            <sz val="10"/>
            <color indexed="81"/>
            <rFont val="Calibri"/>
            <family val="2"/>
          </rPr>
          <t>E&amp;S: compilare con il numero di sensori che si intende installare</t>
        </r>
        <r>
          <rPr>
            <sz val="10"/>
            <color indexed="81"/>
            <rFont val="Calibri"/>
            <family val="2"/>
          </rPr>
          <t xml:space="preserve">
</t>
        </r>
      </text>
    </comment>
    <comment ref="G64" authorId="0">
      <text>
        <r>
          <rPr>
            <b/>
            <sz val="10"/>
            <color indexed="81"/>
            <rFont val="Calibri"/>
            <family val="2"/>
          </rPr>
          <t>E&amp;S: compilare con il numero di sensori che si intende installare</t>
        </r>
        <r>
          <rPr>
            <sz val="10"/>
            <color indexed="81"/>
            <rFont val="Calibri"/>
            <family val="2"/>
          </rPr>
          <t xml:space="preserve">
</t>
        </r>
      </text>
    </comment>
  </commentList>
</comments>
</file>

<file path=xl/sharedStrings.xml><?xml version="1.0" encoding="utf-8"?>
<sst xmlns="http://schemas.openxmlformats.org/spreadsheetml/2006/main" count="1579" uniqueCount="398">
  <si>
    <t>Parametri finanziari</t>
  </si>
  <si>
    <t>Aliquota fiscale</t>
  </si>
  <si>
    <t xml:space="preserve">Anno </t>
  </si>
  <si>
    <t>INVESTIMENTO</t>
  </si>
  <si>
    <t>ENTRATE</t>
  </si>
  <si>
    <t>TOTALE ENTRATE</t>
  </si>
  <si>
    <t>USCITE</t>
  </si>
  <si>
    <t>TOTALE USCITE</t>
  </si>
  <si>
    <t>IMPOSTE</t>
  </si>
  <si>
    <t>Ammortamento</t>
  </si>
  <si>
    <t>Variazione Imponibile</t>
  </si>
  <si>
    <t>TOTALE IMPOSTE</t>
  </si>
  <si>
    <t>NCF</t>
  </si>
  <si>
    <t>NCF attualizzato</t>
  </si>
  <si>
    <t>Indicatori di sostenibilità economica</t>
  </si>
  <si>
    <t>NPV</t>
  </si>
  <si>
    <t>IRR</t>
  </si>
  <si>
    <t>PBT</t>
  </si>
  <si>
    <t>Costi di investimento</t>
  </si>
  <si>
    <t>k_D</t>
  </si>
  <si>
    <t>Installazione</t>
  </si>
  <si>
    <t>Risparmio % seguito all'intervento</t>
  </si>
  <si>
    <t>Scala dell'intervento</t>
  </si>
  <si>
    <t>Energia</t>
  </si>
  <si>
    <t>Numero quadri elettrici</t>
  </si>
  <si>
    <t>Numero punti luce</t>
  </si>
  <si>
    <t>Risparmio di energia</t>
  </si>
  <si>
    <t>WACC</t>
  </si>
  <si>
    <t>Tipologia di strada</t>
  </si>
  <si>
    <t>Strada 1</t>
  </si>
  <si>
    <t>Strada 2</t>
  </si>
  <si>
    <t>Strada 3</t>
  </si>
  <si>
    <t>Strada 4</t>
  </si>
  <si>
    <t>Strada 5</t>
  </si>
  <si>
    <t>Strada 6</t>
  </si>
  <si>
    <t>Strada 7</t>
  </si>
  <si>
    <t>Strada 8</t>
  </si>
  <si>
    <t>Strada 9</t>
  </si>
  <si>
    <t>Strada 10</t>
  </si>
  <si>
    <t xml:space="preserve"> </t>
  </si>
  <si>
    <t>2.4-2.5</t>
  </si>
  <si>
    <t>24-27</t>
  </si>
  <si>
    <t>3.2-4.2</t>
  </si>
  <si>
    <t>31-40</t>
  </si>
  <si>
    <t>M2</t>
  </si>
  <si>
    <r>
      <t>Consumo energetico annuale
kWh·m</t>
    </r>
    <r>
      <rPr>
        <vertAlign val="superscript"/>
        <sz val="16"/>
        <rFont val="Calibri"/>
        <family val="2"/>
        <scheme val="minor"/>
      </rPr>
      <t>2</t>
    </r>
  </si>
  <si>
    <r>
      <t>Densità di potenza
mW/(lx·m</t>
    </r>
    <r>
      <rPr>
        <vertAlign val="superscript"/>
        <sz val="16"/>
        <rFont val="Calibri"/>
        <family val="2"/>
        <scheme val="minor"/>
      </rPr>
      <t>2</t>
    </r>
    <r>
      <rPr>
        <sz val="16"/>
        <rFont val="Calibri"/>
        <family val="2"/>
        <scheme val="minor"/>
      </rPr>
      <t>)</t>
    </r>
  </si>
  <si>
    <r>
      <t>Rapporto di illuminamento ai bordi R</t>
    </r>
    <r>
      <rPr>
        <vertAlign val="subscript"/>
        <sz val="16"/>
        <rFont val="Calibri"/>
        <family val="2"/>
        <scheme val="minor"/>
      </rPr>
      <t>EI</t>
    </r>
  </si>
  <si>
    <r>
      <t>Incremento di soglia f</t>
    </r>
    <r>
      <rPr>
        <vertAlign val="subscript"/>
        <sz val="16"/>
        <rFont val="Calibri"/>
        <family val="2"/>
        <scheme val="minor"/>
      </rPr>
      <t xml:space="preserve">TI
</t>
    </r>
    <r>
      <rPr>
        <sz val="16"/>
        <rFont val="Calibri"/>
        <family val="2"/>
        <scheme val="minor"/>
      </rPr>
      <t>%</t>
    </r>
  </si>
  <si>
    <t>Uniformità longitudinale
Ul</t>
  </si>
  <si>
    <t>Uniformità generale
U0</t>
  </si>
  <si>
    <r>
      <t>Luminanza media L
cd/m</t>
    </r>
    <r>
      <rPr>
        <vertAlign val="superscript"/>
        <sz val="16"/>
        <rFont val="Calibri"/>
        <family val="2"/>
        <scheme val="minor"/>
      </rPr>
      <t>2</t>
    </r>
  </si>
  <si>
    <t>Categoria illuminotecnica</t>
  </si>
  <si>
    <t>LED</t>
  </si>
  <si>
    <t>SAP</t>
  </si>
  <si>
    <t>Prestazioni energetiche
(UNI EN 13201-5:2016)</t>
  </si>
  <si>
    <t>Requisiti illuminotecnici
(UNI EN 13201-2:2016)</t>
  </si>
  <si>
    <t>Classificazione strada
(UNI 11248:2016)</t>
  </si>
  <si>
    <t>C2</t>
  </si>
  <si>
    <t>UNILATERALE</t>
  </si>
  <si>
    <t>MONODIREZIONALE</t>
  </si>
  <si>
    <t>MANTO</t>
  </si>
  <si>
    <t>INTERDISTANZA/ALTEZZA
I/H (m)</t>
  </si>
  <si>
    <t>MARCIAPIEDI
(m)</t>
  </si>
  <si>
    <t>POSIZ. APPARECCHIO RISPETTO AL BORDO CARREGGIATA (m)</t>
  </si>
  <si>
    <t>ALTEZZA
H (m)</t>
  </si>
  <si>
    <t>INTERDISTANZA
I (m)</t>
  </si>
  <si>
    <t>LARGHEZZA
L (m)</t>
  </si>
  <si>
    <t>DISPOSIZIONE APPARECCHI</t>
  </si>
  <si>
    <t>SENSO MARCIA</t>
  </si>
  <si>
    <t>3.0-3.8</t>
  </si>
  <si>
    <t>25-32</t>
  </si>
  <si>
    <t>4.0-5.3</t>
  </si>
  <si>
    <t>34-41</t>
  </si>
  <si>
    <t>M1</t>
  </si>
  <si>
    <t>BILATERALE CENTRALE</t>
  </si>
  <si>
    <t>BIDIREZIONALE</t>
  </si>
  <si>
    <t>MEDIANA
(m)</t>
  </si>
  <si>
    <t>2X2,5m</t>
  </si>
  <si>
    <t>BILATERALE AFFACCIATO</t>
  </si>
  <si>
    <t>25-27</t>
  </si>
  <si>
    <t>31-32</t>
  </si>
  <si>
    <t>M3</t>
  </si>
  <si>
    <t>2X1,5m</t>
  </si>
  <si>
    <t>23-25</t>
  </si>
  <si>
    <t>2.5-2.6</t>
  </si>
  <si>
    <t>34-38</t>
  </si>
  <si>
    <t>2.2-2.4</t>
  </si>
  <si>
    <t>30-33</t>
  </si>
  <si>
    <t>25-28</t>
  </si>
  <si>
    <t>2.7-2.8</t>
  </si>
  <si>
    <t>40-44</t>
  </si>
  <si>
    <t>1.8-2.4</t>
  </si>
  <si>
    <t>34-42</t>
  </si>
  <si>
    <t>M4</t>
  </si>
  <si>
    <t>1.2-1.7</t>
  </si>
  <si>
    <t>41-51</t>
  </si>
  <si>
    <t>M5</t>
  </si>
  <si>
    <t>INSTALLAZIONE SU PALO - OTTICA STRADALE</t>
  </si>
  <si>
    <t>Gateway</t>
  </si>
  <si>
    <t>Comunicazione</t>
  </si>
  <si>
    <t>Tipo</t>
  </si>
  <si>
    <t>Tipologia sensore</t>
  </si>
  <si>
    <t xml:space="preserve">Strada 2 </t>
  </si>
  <si>
    <t xml:space="preserve">Strada 3 </t>
  </si>
  <si>
    <t xml:space="preserve">Strada 4 </t>
  </si>
  <si>
    <t xml:space="preserve">Strada 5 </t>
  </si>
  <si>
    <t xml:space="preserve">Strada 6 </t>
  </si>
  <si>
    <t xml:space="preserve">Strada 7 </t>
  </si>
  <si>
    <t xml:space="preserve">Strada 9 </t>
  </si>
  <si>
    <t xml:space="preserve">                         </t>
  </si>
  <si>
    <t>Contratto di manutenzione</t>
  </si>
  <si>
    <t>Totale investimento</t>
  </si>
  <si>
    <t>Software</t>
  </si>
  <si>
    <t>Tipologia</t>
  </si>
  <si>
    <t>TOTALE</t>
  </si>
  <si>
    <t>Categoria ill.</t>
  </si>
  <si>
    <t>Prezzo Energia [euro/kWh]</t>
  </si>
  <si>
    <t>si</t>
  </si>
  <si>
    <t>no</t>
  </si>
  <si>
    <t>Prezzo [€/sensore]</t>
  </si>
  <si>
    <t>Prezzo  [€/pacchetto]</t>
  </si>
  <si>
    <t>Manutenzione</t>
  </si>
  <si>
    <t>Trasmissione dati</t>
  </si>
  <si>
    <t>Costi trasmissione dati</t>
  </si>
  <si>
    <t>Costo Regolatori punto luce</t>
  </si>
  <si>
    <t>Risparmio manutenzione</t>
  </si>
  <si>
    <t>Costo Gateway sul quadro</t>
  </si>
  <si>
    <t>Costo software</t>
  </si>
  <si>
    <t>Consumo post intervento [kWh/anno]</t>
  </si>
  <si>
    <t>Consumo pre-intervento [kWh/anno]</t>
  </si>
  <si>
    <t>Prezzo medio a lampione</t>
  </si>
  <si>
    <t>Prezzo [€/sensore anno]</t>
  </si>
  <si>
    <t>da 300/400 a 1000/1500 a seconda che si muova o meno.</t>
  </si>
  <si>
    <t>Investimento SAL 2</t>
  </si>
  <si>
    <t>Costo manutenzione pre-intervento</t>
  </si>
  <si>
    <t>Pre intervento</t>
  </si>
  <si>
    <t>Costo manutenzione post-intervento</t>
  </si>
  <si>
    <t>Costi annuali</t>
  </si>
  <si>
    <t>1 pacchetto</t>
  </si>
  <si>
    <t>2 pacchetti</t>
  </si>
  <si>
    <t>3 pacchetti</t>
  </si>
  <si>
    <t>NESSUNO</t>
  </si>
  <si>
    <t>Software in SAL 2</t>
  </si>
  <si>
    <t># medio punti luce a quadro</t>
  </si>
  <si>
    <t># effettivo punti luce a quadro</t>
  </si>
  <si>
    <t># lampioni stimato</t>
  </si>
  <si>
    <t># quadri stimato</t>
  </si>
  <si>
    <t>Numero effettivo</t>
  </si>
  <si>
    <t>Numero minimo</t>
  </si>
  <si>
    <t>SENSORI MONITORAGGIO TRAFFICO</t>
  </si>
  <si>
    <t>Tipologia di sensore</t>
  </si>
  <si>
    <t>Regolatore punto luce</t>
  </si>
  <si>
    <t>HW per Telecontrollo</t>
  </si>
  <si>
    <t>Anni durata del contratto</t>
  </si>
  <si>
    <t>Marginalità ESCo</t>
  </si>
  <si>
    <t>Canone</t>
  </si>
  <si>
    <t>Euro a punto luce</t>
  </si>
  <si>
    <t>k_ESCo</t>
  </si>
  <si>
    <t>CapitaleDebito/Investimento totale</t>
  </si>
  <si>
    <t>CapitaleESCo/Investimento totale</t>
  </si>
  <si>
    <t>CapitaleComune/Investimento totale</t>
  </si>
  <si>
    <t>k_COMUNE</t>
  </si>
  <si>
    <t>"telegestione" [€/punto luce l'anno]</t>
  </si>
  <si>
    <t>Costo software annuo</t>
  </si>
  <si>
    <t>Totale investimenti</t>
  </si>
  <si>
    <t>STIMA RANGE CANONE ANNUO</t>
  </si>
  <si>
    <t>Investimento + markup</t>
  </si>
  <si>
    <t>OPEX</t>
  </si>
  <si>
    <t>Attualizzazione</t>
  </si>
  <si>
    <t>Canone attualizzato</t>
  </si>
  <si>
    <t>Risparmio energia</t>
  </si>
  <si>
    <t>Risparmio manutentione</t>
  </si>
  <si>
    <t>totale attualizzato</t>
  </si>
  <si>
    <t>Canone MINIMO</t>
  </si>
  <si>
    <t>TOTALE Risparmi</t>
  </si>
  <si>
    <t>Canone scelto</t>
  </si>
  <si>
    <t>Prezzo [€/gateway]</t>
  </si>
  <si>
    <t>il numero minimo di sensori installati dovrebbe essere almeno pari al numero di incroci</t>
  </si>
  <si>
    <t>Costo sensori</t>
  </si>
  <si>
    <t>Aliquota fiscale (ESCo)</t>
  </si>
  <si>
    <t>Cumulata NCF attualizzati</t>
  </si>
  <si>
    <t>Consumo energetico specifico [kWh/m2 anno]</t>
  </si>
  <si>
    <t>Installazione [€/sensore]</t>
  </si>
  <si>
    <t>VIDEOSORVEGLIANZA</t>
  </si>
  <si>
    <t>SSS8</t>
  </si>
  <si>
    <t>Centralina meteo</t>
  </si>
  <si>
    <t>Hotspot (copertuta 100mt)</t>
  </si>
  <si>
    <t>Wifi</t>
  </si>
  <si>
    <t>SENSORI AMBIENTALI</t>
  </si>
  <si>
    <t>SSS 11</t>
  </si>
  <si>
    <t>SSS6 e SSS7</t>
  </si>
  <si>
    <t>Parcometro</t>
  </si>
  <si>
    <t>Ricarica pc o cellulari</t>
  </si>
  <si>
    <t>Ricarica biciclette (4 prese)</t>
  </si>
  <si>
    <t>Sensore magnetico wireless</t>
  </si>
  <si>
    <t>STAZIONE RICARICA</t>
  </si>
  <si>
    <t>SENSORI PARCHEGGI</t>
  </si>
  <si>
    <t>SSS 10</t>
  </si>
  <si>
    <t>SSS4 e SSS5</t>
  </si>
  <si>
    <t>Totem da esterni</t>
  </si>
  <si>
    <t>Pannello da esterni</t>
  </si>
  <si>
    <t>TOTEM e PANNELLI A MESSAGGIO VARIABILE</t>
  </si>
  <si>
    <t>SSS9</t>
  </si>
  <si>
    <t>SSS2 e SSS3</t>
  </si>
  <si>
    <t>Sensori ambientali "standard"</t>
  </si>
  <si>
    <t>Sensori ambientali "avanzati"</t>
  </si>
  <si>
    <t>Telecamera "standard"</t>
  </si>
  <si>
    <t>Pannello a messaggio variabile da esterni</t>
  </si>
  <si>
    <t>Sensore traffico "standard"</t>
  </si>
  <si>
    <t>Numero strutture ricarica pc o cellulari</t>
  </si>
  <si>
    <t>Numero sensori ambientali</t>
  </si>
  <si>
    <t>Numero pannelli a messaggio variabile</t>
  </si>
  <si>
    <t>Numero di totem da esterni</t>
  </si>
  <si>
    <t xml:space="preserve">Numero stazioni di ricarica biciclette </t>
  </si>
  <si>
    <t>Sensore ''advanced''</t>
  </si>
  <si>
    <t>Numero sensori monitoraggio parcheggi</t>
  </si>
  <si>
    <t>Numero di Hotspot</t>
  </si>
  <si>
    <t>Numero parcometri</t>
  </si>
  <si>
    <t>Costo sensori monitoraggio parcheggi</t>
  </si>
  <si>
    <t>Costo parcometri</t>
  </si>
  <si>
    <t>Costo sensori ambientali</t>
  </si>
  <si>
    <t>Costo pannelli a messaggio variabile</t>
  </si>
  <si>
    <t>Costo dei totem da esterni</t>
  </si>
  <si>
    <t>Costo Hotspot</t>
  </si>
  <si>
    <t xml:space="preserve">Costo stazioni di ricarica biciclette </t>
  </si>
  <si>
    <t>Numero smart meter (PELL)</t>
  </si>
  <si>
    <t>Costo smart meter (PELL)</t>
  </si>
  <si>
    <t>PELL</t>
  </si>
  <si>
    <t>Smart meter</t>
  </si>
  <si>
    <t>Costo compilazione censimento  [€/punto luce]</t>
  </si>
  <si>
    <t>Costo censimento (PELL)</t>
  </si>
  <si>
    <t>Costo di trasmissione dati - banda stretta</t>
  </si>
  <si>
    <t>Costo di trasmissione dati - banda larga</t>
  </si>
  <si>
    <t>il numero di sensori installati dev'essere pari al numero di stalli</t>
  </si>
  <si>
    <t>Una telecamera "smart" usata per sistemi di smart parking è in grado di controllare fino a 30 stalli se la geometria del parcheggio lo permette</t>
  </si>
  <si>
    <t>Il numero di parcometri è funzionale al servizio che si vuole offrire</t>
  </si>
  <si>
    <t>Il numero di sensori ambientali è funzionale al servizio che si vuole offrire</t>
  </si>
  <si>
    <t>Il numero di pannelli a messaggio variabile  è funzionale al servizio che si vuole offrire</t>
  </si>
  <si>
    <t>Il numero di totem da esterni è funzionale al servizio che si vuole offrire</t>
  </si>
  <si>
    <t>Il numero di stazioni di ricarica per pc e cellulari è funzionale al servizio che si vuole offrire</t>
  </si>
  <si>
    <t>valore indicativo che dipende dalla quantità di dati da trasportare</t>
  </si>
  <si>
    <t>Gli hotspot Wifi hanno una copertura del segnale pari a 100 mt</t>
  </si>
  <si>
    <t>Telecamera "smart" -1 pacchetto software</t>
  </si>
  <si>
    <t>Telecamera "smart" - 2 pacchetti software</t>
  </si>
  <si>
    <t>Telecamera "smart" - 3 pacchetti software</t>
  </si>
  <si>
    <t>Telecamera "smart" (parcheggio)</t>
  </si>
  <si>
    <t>Smart Adaptive Lighting &amp; Smart street services - Project Financing</t>
  </si>
  <si>
    <t>Smart Adaptive Lighting &amp; Smart street services - CONSIP</t>
  </si>
  <si>
    <t>Smart Adaptive Lighting &amp; Smart street services - PPP</t>
  </si>
  <si>
    <t>Lunghezza complessiva strada oggetto d'intervento per tipologia [m]</t>
  </si>
  <si>
    <t>Larghezza strada oggetto d'intervento per tipologia [m]</t>
  </si>
  <si>
    <t>Interdistanza strada oggetto d'intervento per tipologia [m]</t>
  </si>
  <si>
    <t># incroci</t>
  </si>
  <si>
    <t>Telegestione</t>
  </si>
  <si>
    <t>FAI</t>
  </si>
  <si>
    <t>TAI</t>
  </si>
  <si>
    <t>BANDA STRETTA</t>
  </si>
  <si>
    <t>BANDA LARGA</t>
  </si>
  <si>
    <t>Attenzione!! Riempire solo se il sensore di monitoraggio traffico è diverso da quello usato nel TAI</t>
  </si>
  <si>
    <t>SAL</t>
  </si>
  <si>
    <t>SSS</t>
  </si>
  <si>
    <t>E' presente un impianto a regolazione predefinita?</t>
  </si>
  <si>
    <t>REP</t>
  </si>
  <si>
    <t>Casella di controllo</t>
  </si>
  <si>
    <t>Nel caso di installazione di soli servizi SSS:</t>
  </si>
  <si>
    <t>E' già presente un impianto di telegestione?</t>
  </si>
  <si>
    <t>Numero sensori "advanced"</t>
  </si>
  <si>
    <t>Costo Sensori "advanced"</t>
  </si>
  <si>
    <t>Costo sensori "advanced"</t>
  </si>
  <si>
    <t>Costi manutenzioe SSS</t>
  </si>
  <si>
    <t>Costo software prelievo dati</t>
  </si>
  <si>
    <t>Costo presente solo se si risponde "si" alla domanda ---&gt;</t>
  </si>
  <si>
    <t>I dati vengono inviati prima alla piattaforma cloud?</t>
  </si>
  <si>
    <t>Canone annuale piattaforma software</t>
  </si>
  <si>
    <t>Il numero di telecamere è funzionale al servizio che si vuole offrire</t>
  </si>
  <si>
    <t xml:space="preserve">Se si è risposto "si" alla domanda precedente: </t>
  </si>
  <si>
    <t>Risparmio seguito all'intervento</t>
  </si>
  <si>
    <t>Risparmio CO2</t>
  </si>
  <si>
    <t>Si desidera tenere in conto i risparmi ambientali in termini di valorizzazione della CO2 risparmiata?</t>
  </si>
  <si>
    <t>Costi/Risparmi annuali</t>
  </si>
  <si>
    <t>CO2 risparmiata</t>
  </si>
  <si>
    <t>Prezzo CO2 risparmiata [euro/ton]</t>
  </si>
  <si>
    <t>Risparmio energia seguito all'intervento [kWh_el]</t>
  </si>
  <si>
    <t>Risparmio seguito all'intervento [euro]</t>
  </si>
  <si>
    <t>CO2 risparmiata al kWh_el [kgCO2/kWh_el]</t>
  </si>
  <si>
    <t>Risparmio CO2 seguito all'intervento [euro]</t>
  </si>
  <si>
    <t>TOTALE Risparmio energia</t>
  </si>
  <si>
    <t>TOTALE Risparmio CO2</t>
  </si>
  <si>
    <t>Risparmio energia attualizzato</t>
  </si>
  <si>
    <t>Risparmio manutenzione attualizzato</t>
  </si>
  <si>
    <t>Risparmio CO2 attualizzato</t>
  </si>
  <si>
    <t>Smart Adaptive Lighting &amp; Smart street services - Autofinanziamento</t>
  </si>
  <si>
    <t>Numero sensori monitoraggio traffico TAI</t>
  </si>
  <si>
    <t>Numero sensori monitoraggio traffico SSS</t>
  </si>
  <si>
    <t>Costo Sensori monitoraggio traffico TAI</t>
  </si>
  <si>
    <t>Costo Sensori monitoraggio traffico SSS</t>
  </si>
  <si>
    <t>Telecamera "smart" (videosorveglianza)</t>
  </si>
  <si>
    <t>Numero sensori videosorveglianza (telecamere "standard" e telecamere "smart")</t>
  </si>
  <si>
    <t>Numero sensori monitoraggio traffico - TAI</t>
  </si>
  <si>
    <t>Numero sensori monitoraggio traffico - SSS</t>
  </si>
  <si>
    <t>Costo Sensori monitoraggio traffico - TAI</t>
  </si>
  <si>
    <t>Costo Sensori monitoraggio traffico - SSS</t>
  </si>
  <si>
    <t>Costo sensori videosorveglianza (telecamere "standard" e telecamere "smart")</t>
  </si>
  <si>
    <t>Costo Sensori monitoraggio - TAI</t>
  </si>
  <si>
    <t>Costo Sensori monitoraggio - SSS</t>
  </si>
  <si>
    <t>Sensori  "advanced"</t>
  </si>
  <si>
    <t>Costo stazioni di ricarica pc o cellulari</t>
  </si>
  <si>
    <t>Smart Adaptive Lighting</t>
  </si>
  <si>
    <t>Smart Street Services</t>
  </si>
  <si>
    <t>TOTALE Risparmio manutenzione</t>
  </si>
  <si>
    <t>Sensore standard wireless (ultrasuoni/infrarossi/radar)</t>
  </si>
  <si>
    <t>Telecamera smart</t>
  </si>
  <si>
    <t>Sensore standard</t>
  </si>
  <si>
    <t>Telecamera standard</t>
  </si>
  <si>
    <t>Sensore standard (infrarossi/radar)</t>
  </si>
  <si>
    <t>Sensore advanced</t>
  </si>
  <si>
    <t>pacchetto base ''veicoli'' - telecamera smart</t>
  </si>
  <si>
    <t>pacchetto base ''pedoni'' - telecamera smart</t>
  </si>
  <si>
    <t>pacchetto base ''meteo'' - telecamera smart</t>
  </si>
  <si>
    <t>pacchetto base ''parcheggi'' - telecamera smart</t>
  </si>
  <si>
    <t>pacchetto base ''sicurezza'' - telecamera smart</t>
  </si>
  <si>
    <t>Costo Sensori advanced</t>
  </si>
  <si>
    <t>Costo software iniziale telecamera smart - TAI</t>
  </si>
  <si>
    <t>Costo software iniziale telecamera smart - SSS</t>
  </si>
  <si>
    <t>Costo sensori videosorveglianza (telecamere standard e telecamere smart)</t>
  </si>
  <si>
    <t>Numero sensori videosorveglianza (telecamere standard e telecamere smart)</t>
  </si>
  <si>
    <t>Numero sensori advanced</t>
  </si>
  <si>
    <t>Telecamera smart - 2 pacchetti software</t>
  </si>
  <si>
    <t>Telecamera smart -1 pacchetto software</t>
  </si>
  <si>
    <t>Telecamera smart - 3 pacchetti software</t>
  </si>
  <si>
    <t>Telecamera smart (parcheggio)</t>
  </si>
  <si>
    <t>Sensore traffico standard</t>
  </si>
  <si>
    <t>Sensori ambientali standard</t>
  </si>
  <si>
    <t>Sensori ambientali avanzati</t>
  </si>
  <si>
    <t>Telecamera smart (videosorveglianza)</t>
  </si>
  <si>
    <t>Sistemi di monitoraggio del traffico</t>
  </si>
  <si>
    <t>Smart street service</t>
  </si>
  <si>
    <t>Smart Parking</t>
  </si>
  <si>
    <t>Sensori ambientali</t>
  </si>
  <si>
    <t>Videosorveglianza</t>
  </si>
  <si>
    <t>Totem e pannelli a messagigo variabile</t>
  </si>
  <si>
    <t>ALTRO</t>
  </si>
  <si>
    <t>Stazioni di ricarica</t>
  </si>
  <si>
    <t>Connettività Wifi</t>
  </si>
  <si>
    <t>La telecamera smart ha un costo del software solo iniziale</t>
  </si>
  <si>
    <t>Eventuali extra costi (es: progettazione, opere civili, messa a norma impianti)</t>
  </si>
  <si>
    <t>Totale canone attualizzato</t>
  </si>
  <si>
    <t>Totale costi attualizzato</t>
  </si>
  <si>
    <t>TOTALE - TAI</t>
  </si>
  <si>
    <t>Smart Street Service</t>
  </si>
  <si>
    <t>TOTALE - FAI</t>
  </si>
  <si>
    <r>
      <t xml:space="preserve">&lt;-- VALORE DA IMPOSTARE in ricerca obiettivo, </t>
    </r>
    <r>
      <rPr>
        <b/>
        <u/>
        <sz val="11"/>
        <color theme="1"/>
        <rFont val="Calibri (Corpo)"/>
      </rPr>
      <t>inserendolo</t>
    </r>
    <r>
      <rPr>
        <b/>
        <sz val="11"/>
        <color theme="1"/>
        <rFont val="Calibri"/>
        <family val="2"/>
        <scheme val="minor"/>
      </rPr>
      <t xml:space="preserve"> </t>
    </r>
    <r>
      <rPr>
        <b/>
        <u/>
        <sz val="11"/>
        <color theme="1"/>
        <rFont val="Calibri (Corpo)"/>
      </rPr>
      <t>manualmente (2a riga della ricerca obiettivo)</t>
    </r>
  </si>
  <si>
    <t>&lt;-- CELLA DA CAMBIARE in ricerca obiettivo (3a riga della ricerca obiettivo)</t>
  </si>
  <si>
    <t>&lt;-- "CELLA DA IMPOSTARE" in ricerca obiettivo (1a riga della ricerca obiettivo)</t>
  </si>
  <si>
    <t>Punto luce</t>
  </si>
  <si>
    <t>Sensore TAI (standard)</t>
  </si>
  <si>
    <t>Telecamera smart (TAI)</t>
  </si>
  <si>
    <t>Sensore advanced (FAI)</t>
  </si>
  <si>
    <t>Seleziona pacchetto software 1</t>
  </si>
  <si>
    <t>Seleziona pacchetto software 2</t>
  </si>
  <si>
    <t>Seleziona pacchetto software 3</t>
  </si>
  <si>
    <t>Solo per telecamera smart</t>
  </si>
  <si>
    <t>Il numero di smart meter è pari al numero di Gateway</t>
  </si>
  <si>
    <t>Viene implementato il PELL?</t>
  </si>
  <si>
    <t>Guida all'utilizzo del modello</t>
  </si>
  <si>
    <t>Il modello di simulazione per interventi di riqualificazione dell’infrastruttura di Pubblica Illuminazione in ottica smart adaptive lighting e smart street service, per tutte le tipologie di finanziamento, è impostato come dettagliato nel seguito:</t>
  </si>
  <si>
    <t>1. Dimensionamento dell'intervento "smart adaptive lighting + Telegestione"</t>
  </si>
  <si>
    <t>N:B:Sono da compilare unicamente le caselle evidenziate in giallo, mentre le caselle arancioni sono "facoltative"</t>
  </si>
  <si>
    <t>b) Qualora sia noto il numero esatto di punti luce interconnessi al quadro elettrico per tipologia di strada, è possibile inserirlo manualmente nel campo "#effettivo punti luce a quadro". Se tale valore non fosse noto il modello di simulazione considera automaticamente il valore medio di 80 lampioni per quadro elettrico</t>
  </si>
  <si>
    <t>c) Qualora la telegestione sia abbinata a un impianto TAI o FAI è richiesto l'inserimento del numero di incroci, inserendo manualmente il numero di incroci nel campo "#incroci", in quanto tipicamente si prevede di installare almeno un sensore a incrocio</t>
  </si>
  <si>
    <t>2. Dimensionamento dell’intervento smart street service</t>
  </si>
  <si>
    <t>d) nel dimensionamento dell'impianto di smart adaptive lighting, è necessario rispondere alla domanda "è presente un impianto a regolazione predefinita?"; in caso di risposta affermativa NON vanno compilati i successivi campi della sezione Smart Adaptive Lighting come indicato dalle caselle rosse di controllo. Nel caso in cui si voglia installare un impianto TAI è necessario inserire il numero di sensori standard e/o di telecamere smart; se si installano telecamere smart è necessario indicare il numero di pacchetti software che si intende installare nella telecamera e scegliere la tipologia di software scegliendo il pacchetto nel menù a tendina. Nel caso in cui si voglia installare un impianto FAI è necessario inserire il numeto di sensori che si intende installare, compilando il campo "Numero effettivo". Nella colonna "Numero minimo" appaiono delle indicazioni relative al numero minimo di sensori che è consigliato installare; nel caso in cui si impostasse un numero di sensori inferiore al numero di incroci, il modello restituirebbe un messaggio di warning, consentendo in ogni caso di procedere con le successive elaborazioni.</t>
  </si>
  <si>
    <t>b) Per dimensionare l'intervento di smart street service è necessario inserire anzitutto rispondere alla domanda: "Viene implementato il PELL?" la cui risposta per semplicità di rappresentazione è posta sotto il campo "Numero effettivo" e dev'essere selezionata in un menù a tendina. Per tutti gli altri smart street service considerati è sufficiente inserire il numero di sensori che si intende installare nel campo "Numero effettivo". Qualora si installino delle telecamere smart per il servizio "Monitoraggio del traffico" sarà necessario selezionare i pacchetti software che si intendono installare nella telecamera; per le telecamere smart per i servizi di "Smart Parking" e "Videosorveglianza" si considera unicamente iun pacchetto software,ossia il pacchetto base ''parcheggi'' ed il pacchetto base ''sicurezza''. Anche in questo caso nella colonna "Numero minimo"  appaiono delle indicazioni relative al numero minimo di sensori che è consigliato installare.</t>
  </si>
  <si>
    <t>3. Stima dei costi di investimento</t>
  </si>
  <si>
    <t xml:space="preserve">In questa sezione è possibile compilare unicamente il campo facoltativo "Eventuali extra costi (es: progettazione, opere civili, messa a norma impianti)" </t>
  </si>
  <si>
    <t>4. Parametri finanziari</t>
  </si>
  <si>
    <t>5. Costi/ Risparmi annuali</t>
  </si>
  <si>
    <t>Nella sezione Costi/ Risparmi annuali nel riquadro relativo alla Trasmissione dei dati, è necessario rispondere alla domanda "I dati vengono inviati prima alla piattaforma cloud?" (domanda valida unicamente per gli impianti TAI e FAI in cui tale possibilità viene offerta da un operatore del mercato); in caso di risposta affermativa è necessario compilare il campo sottostante "Canone annuale piattaforma software"; in caso contrario tale casella NON dev'essere compilata.</t>
  </si>
  <si>
    <t>Nel caso della modalità "Autofinanziamento", arrivati a questo punto è necessario rispondere alla domanda  "Si desidera tenere in conto i risparmi ambientali in termini di valorizzazione della CO2 risparmiata?"; in caso di risposta affermativa, il business plan sottostante considererà anche i flussi di cassa relativi agli eventuali risparmi di CO2, altrimenti questi potranno essere visualizzati nel riquadro "CO2 risparmiata" presente nella sezione "Costi/ Risparmi annuali" ma non verranno considerati all'interno del business plan.</t>
  </si>
  <si>
    <t>MODALITA' AUTOFINANZIAMENTO</t>
  </si>
  <si>
    <t>ALTRO TIPO DI FINANZIAMENTO</t>
  </si>
  <si>
    <t>a) Per le altre tipologie di finanziamento è necessario utilizzare la ricerca obiettivo (DATI --&gt; Analisi di simulazione --&gt; Ricerca obiettivo) da compilare come indicato nello stesso file excel: nella prima riga della ricerca obiettivo denominata "Imposta la cella:" è necessario selezionare la cella    "Totale canone attualizzato" indicata in arancione; nella seconda rifa della Ricerca obiettivo denominata "Al valore:" è necessario inserire MANUALMENTE il valore che appare nella cella "Totale costi attualizzato" indicata in arancione chiaro; infine nella terza riga della Ricerca obiettivo denominata "Cambiando la cella:" è necessario selezionare la cella "Canone MINIMO" segnata in arancione e premere "OK". Una volta lanciata la Ricerca obiettivo, apparirà a video il valore del Canone MINIMO (nell'apposita cella) che rappresenta il valore di flusso di cassa in ingresso per il soggetto investitore necessario affinché i costi (CAPEX ed OPEX) lungo la vita utile dell’investimento attualizzati (comprensivi della marginalità  del soggetto investitore sul CAPEX), siano pari alla somma dei canoni annui attualizzati. A partire da tale valore minimo di riferimento, è necessario impostare il canone annuo che il soggetto investitore può/intende effettivamente richiedere per realizzare l’investimento, compilando la cella "Canone scelto" evidenziata in giallo</t>
  </si>
  <si>
    <t>b) Infine  si richiede di rispondere alla domanda: "Si desidera tenere in conto i risparmi ambientali in termini di valorizzazione della CO2 risparmiata?", in caso di risposta affermativa si calcola il totale dei risparmi (come somma attualizzata dei risparmi annuali derivanti da risparmi in energia, in manutenzione ed eventualmente di CO2) tenendo conto dei risparmi di CO2, i quali altrimenti vengono esclusi da questo calcolo.</t>
  </si>
  <si>
    <t>Fino a questo punto non vi sono differenze tra il modello di simulazione per la modalità di finanziamento "Autofinanziamento" e le altre forme di finanziamento considerate (Project Financing, CONSIP, PPP). Da questo punto in poi questa guida si divide in "MODALITA' AUTOFINANZIAMENTO" e "ALTRO TIPO DI FINANZIAMENTO"</t>
  </si>
  <si>
    <t xml:space="preserve">    </t>
  </si>
  <si>
    <t>La tabella finale, indicata nella figura sottostante, indica il totale dei risparmi attualizzati per tutta la durata del contratto. Sono indicati anche i risparmi totali attualizzati per tutta la durata del contratto di energia, manutenzione e CO2.</t>
  </si>
  <si>
    <t>campi obbligatori</t>
  </si>
  <si>
    <t>campi facoltativi</t>
  </si>
  <si>
    <t>STIMA RANGE CANONE ANNUO MEDIANTE RICERCA OBIETTIVO (DATI-&gt;ANALISI DI SIMULAZIONE-&gt;RICERCA OBIETTIVO)</t>
  </si>
  <si>
    <t>a) Per il dimensionamento dell'impianto di telegestione è necessario compilare il campo " "Lunghezza complessiva strada oggetto d'intervento per tipologia [m]"" inserendo manualmente la lunghezza complessiva in metri delle strade, divise per le tipologie indicate da ENEA consultabili al foglio di lavoro denominato "Dettaglio strade (ENEA)". Qualora si vogliano inserire delle strade con caratteristiche diverse da quelle indicate è possibile compilare le 5 righe in arancione nei campi "Tipologia di strada", "Lunghezza complessiva strada oggetto d'intervento per tipologia [m]", "Larghezza strada oggetto dell'intervento[m]" e "Interdistanza strada oggetto d'intervento per tipologia [m]".</t>
  </si>
  <si>
    <t>a) Dato che il modello di simulazione è pensato per funzionare anche quando si volessere integrare degli impianti smart street service ad un impianto di telegestione già esistente, è necessario rispondere alla domanda "E' già presente un impianto di telegestione?" in caso di risposta affermativa é necessario rispondere alla domanda "Qual è il costo TOTALE del software di telegestione presente?" compilando la casella evidenziata in giallo; ion caso contrario la suddetta casella dovrà essere lasciata vuota come indicato dal messaggio a video "NON COMPILARE QUESTO CAMPO"</t>
  </si>
  <si>
    <t xml:space="preserve">I campi da compilare nei parametri finanziari, variano a seconda della tipologia di finanziamento scelta per l'intervento. Vale la regola di compilare unicamente i campi evidenziati in giallo. </t>
  </si>
  <si>
    <t>N.B la Figura di seguito riporta a titolo di esempio la sezione "parametri finanziari" relativi alla modalità "Autofinanziamento", i cui numeri riportati sono puramente indicativi.</t>
  </si>
  <si>
    <t>Nella sezione Costi/ Risparmi annuali nel riquadro relativo alla Manutenzione è necessario selezionare si/no nel menu a tendina accanto alla voce "Cotratto di manutenzione" che indica se è già presente un contratto di manutenzione relativo alla pubblica illuminazione o meno (poichè, in caso affermativo, i risparmi sui costi di manutenzione non sarebbero differenziali - quindi verrebbero trascurati - ai fini della valutazione economica dell'investimento).</t>
  </si>
  <si>
    <t>Volume d’affari associato alle soluzioni tecnologiche</t>
  </si>
  <si>
    <t xml:space="preserve">Ricaduta occupazionale associata all’installazione/manutenzione delle soluzioni tecnologiche </t>
  </si>
  <si>
    <t xml:space="preserve">Ricaduta occupazionale associate alle soluzioni tecnologiche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</si>
</sst>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0\ &quot;€&quot;_-;\-* #,##0\ &quot;€&quot;_-;_-* &quot;-&quot;\ &quot;€&quot;_-;_-@_-"/>
    <numFmt numFmtId="44" formatCode="_-* #,##0.00\ &quot;€&quot;_-;\-* #,##0.00\ &quot;€&quot;_-;_-* &quot;-&quot;??\ &quot;€&quot;_-;_-@_-"/>
    <numFmt numFmtId="43" formatCode="_-* #,##0.00\ _€_-;\-* #,##0.00\ _€_-;_-* &quot;-&quot;??\ _€_-;_-@_-"/>
    <numFmt numFmtId="164" formatCode="0.0"/>
    <numFmt numFmtId="165" formatCode="#,##0.00\ &quot;€&quot;"/>
    <numFmt numFmtId="166" formatCode="#,##0\ &quot;€&quot;"/>
    <numFmt numFmtId="167" formatCode="#,##0.0\ &quot;€&quot;"/>
    <numFmt numFmtId="168" formatCode="_-* #,##0\ &quot;€&quot;_-;\-* #,##0\ &quot;€&quot;_-;_-* &quot;-&quot;?\ &quot;€&quot;_-;_-@_-"/>
    <numFmt numFmtId="169" formatCode="_-* #,##0\ &quot;€&quot;_-;\-* #,##0\ &quot;€&quot;_-;_-* &quot;-&quot;??\ &quot;€&quot;_-;_-@_-"/>
  </numFmts>
  <fonts count="37"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sz val="16"/>
      <color theme="1"/>
      <name val="Calibri"/>
      <family val="2"/>
      <scheme val="minor"/>
    </font>
    <font>
      <sz val="10"/>
      <name val="Arial"/>
      <family val="2"/>
    </font>
    <font>
      <sz val="16"/>
      <name val="Calibri"/>
      <family val="2"/>
      <scheme val="minor"/>
    </font>
    <font>
      <sz val="16"/>
      <color rgb="FFC00000"/>
      <name val="Calibri"/>
      <family val="2"/>
      <scheme val="minor"/>
    </font>
    <font>
      <sz val="16"/>
      <color indexed="8"/>
      <name val="Calibri"/>
      <family val="2"/>
      <scheme val="minor"/>
    </font>
    <font>
      <vertAlign val="superscript"/>
      <sz val="16"/>
      <name val="Calibri"/>
      <family val="2"/>
      <scheme val="minor"/>
    </font>
    <font>
      <vertAlign val="subscript"/>
      <sz val="16"/>
      <name val="Calibri"/>
      <family val="2"/>
      <scheme val="minor"/>
    </font>
    <font>
      <sz val="16"/>
      <color rgb="FFFF0000"/>
      <name val="Calibri"/>
      <family val="2"/>
      <scheme val="minor"/>
    </font>
    <font>
      <sz val="24"/>
      <color theme="1"/>
      <name val="Calibri"/>
      <family val="2"/>
      <scheme val="minor"/>
    </font>
    <font>
      <i/>
      <sz val="11"/>
      <color theme="1"/>
      <name val="Calibri"/>
      <family val="2"/>
      <scheme val="minor"/>
    </font>
    <font>
      <b/>
      <i/>
      <sz val="11"/>
      <color theme="1"/>
      <name val="Calibri"/>
      <family val="2"/>
      <scheme val="minor"/>
    </font>
    <font>
      <sz val="10"/>
      <color indexed="81"/>
      <name val="Calibri"/>
      <family val="2"/>
    </font>
    <font>
      <b/>
      <sz val="10"/>
      <color indexed="81"/>
      <name val="Calibri"/>
      <family val="2"/>
    </font>
    <font>
      <sz val="11"/>
      <color rgb="FFFF0000"/>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b/>
      <u/>
      <sz val="11"/>
      <color theme="1"/>
      <name val="Calibri"/>
      <family val="2"/>
      <scheme val="minor"/>
    </font>
    <font>
      <b/>
      <i/>
      <sz val="12"/>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20"/>
      <color theme="1"/>
      <name val="Calibri"/>
      <family val="2"/>
      <scheme val="minor"/>
    </font>
    <font>
      <strike/>
      <sz val="11"/>
      <color theme="1"/>
      <name val="Calibri"/>
      <family val="2"/>
      <scheme val="minor"/>
    </font>
    <font>
      <b/>
      <sz val="20"/>
      <color theme="1"/>
      <name val="Calibri"/>
      <family val="2"/>
      <scheme val="minor"/>
    </font>
    <font>
      <b/>
      <sz val="18"/>
      <color theme="1"/>
      <name val="Calibri"/>
      <family val="2"/>
      <scheme val="minor"/>
    </font>
    <font>
      <b/>
      <u/>
      <sz val="11"/>
      <color theme="1"/>
      <name val="Calibri (Corpo)"/>
    </font>
    <font>
      <sz val="16"/>
      <color theme="0"/>
      <name val="Calibri"/>
      <family val="2"/>
      <scheme val="minor"/>
    </font>
    <font>
      <b/>
      <sz val="12"/>
      <color theme="0"/>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2"/>
      <color rgb="FF000000"/>
      <name val="Calibri"/>
      <family val="2"/>
      <scheme val="minor"/>
    </font>
  </fonts>
  <fills count="16">
    <fill>
      <patternFill patternType="none"/>
    </fill>
    <fill>
      <patternFill patternType="gray125"/>
    </fill>
    <fill>
      <patternFill patternType="solid">
        <fgColor rgb="FF92D05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5"/>
        <bgColor indexed="64"/>
      </patternFill>
    </fill>
    <fill>
      <patternFill patternType="solid">
        <fgColor rgb="FF00B0F0"/>
        <bgColor indexed="64"/>
      </patternFill>
    </fill>
    <fill>
      <patternFill patternType="solid">
        <fgColor rgb="FFFF0000"/>
        <bgColor indexed="64"/>
      </patternFill>
    </fill>
    <fill>
      <patternFill patternType="solid">
        <fgColor theme="1" tint="0.499984740745262"/>
        <bgColor indexed="64"/>
      </patternFill>
    </fill>
  </fills>
  <borders count="6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thin">
        <color auto="1"/>
      </left>
      <right style="thin">
        <color auto="1"/>
      </right>
      <top style="medium">
        <color auto="1"/>
      </top>
      <bottom/>
      <diagonal/>
    </border>
    <border>
      <left style="medium">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auto="1"/>
      </left>
      <right/>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top/>
      <bottom style="double">
        <color auto="1"/>
      </bottom>
      <diagonal/>
    </border>
  </borders>
  <cellStyleXfs count="7">
    <xf numFmtId="0" fontId="0" fillId="0" borderId="0"/>
    <xf numFmtId="43" fontId="3" fillId="0" borderId="0" applyFont="0" applyFill="0" applyBorder="0" applyAlignment="0" applyProtection="0"/>
    <xf numFmtId="0" fontId="5" fillId="0" borderId="0"/>
    <xf numFmtId="0" fontId="5" fillId="0" borderId="0"/>
    <xf numFmtId="9" fontId="3"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527">
    <xf numFmtId="0" fontId="0" fillId="0" borderId="0" xfId="0"/>
    <xf numFmtId="0" fontId="0" fillId="0" borderId="4" xfId="0" applyBorder="1"/>
    <xf numFmtId="9" fontId="0" fillId="0" borderId="5" xfId="0" applyNumberFormat="1" applyBorder="1"/>
    <xf numFmtId="0" fontId="0" fillId="0" borderId="6" xfId="0" applyBorder="1"/>
    <xf numFmtId="0" fontId="0" fillId="0" borderId="7" xfId="0" applyBorder="1"/>
    <xf numFmtId="0" fontId="1" fillId="3" borderId="1" xfId="0" applyFont="1" applyFill="1" applyBorder="1" applyAlignment="1">
      <alignment horizontal="center"/>
    </xf>
    <xf numFmtId="0" fontId="1" fillId="3" borderId="3" xfId="0" applyFont="1" applyFill="1" applyBorder="1" applyAlignment="1">
      <alignment horizontal="center"/>
    </xf>
    <xf numFmtId="0" fontId="2" fillId="2" borderId="1" xfId="0" applyFont="1" applyFill="1" applyBorder="1"/>
    <xf numFmtId="0" fontId="0" fillId="2" borderId="3" xfId="0" applyFill="1" applyBorder="1"/>
    <xf numFmtId="0" fontId="2" fillId="0" borderId="1" xfId="0" applyFont="1" applyBorder="1"/>
    <xf numFmtId="0" fontId="0" fillId="0" borderId="3" xfId="0" applyBorder="1"/>
    <xf numFmtId="0" fontId="2" fillId="0" borderId="6" xfId="0" applyFont="1" applyBorder="1"/>
    <xf numFmtId="0" fontId="0" fillId="0" borderId="0" xfId="0" applyBorder="1"/>
    <xf numFmtId="3" fontId="0" fillId="0" borderId="0" xfId="0" applyNumberFormat="1" applyBorder="1"/>
    <xf numFmtId="0" fontId="2" fillId="0" borderId="0" xfId="0" applyFont="1" applyBorder="1"/>
    <xf numFmtId="0" fontId="2" fillId="0" borderId="8" xfId="0" applyFont="1" applyFill="1" applyBorder="1"/>
    <xf numFmtId="0" fontId="2" fillId="0" borderId="4" xfId="0" applyFont="1" applyFill="1" applyBorder="1"/>
    <xf numFmtId="0" fontId="2" fillId="0" borderId="0" xfId="0" applyFont="1" applyFill="1" applyBorder="1" applyAlignment="1">
      <alignment horizontal="center"/>
    </xf>
    <xf numFmtId="0" fontId="0" fillId="0" borderId="0" xfId="0" applyFill="1" applyBorder="1"/>
    <xf numFmtId="0" fontId="0" fillId="0" borderId="0" xfId="0" applyFill="1" applyBorder="1" applyAlignment="1">
      <alignment horizontal="center"/>
    </xf>
    <xf numFmtId="0" fontId="0" fillId="0" borderId="8" xfId="0" applyBorder="1"/>
    <xf numFmtId="0" fontId="0" fillId="0" borderId="6" xfId="0" applyFill="1" applyBorder="1"/>
    <xf numFmtId="0" fontId="2" fillId="5" borderId="1" xfId="0" applyFont="1" applyFill="1" applyBorder="1"/>
    <xf numFmtId="0" fontId="2" fillId="5" borderId="2" xfId="0" applyFont="1" applyFill="1" applyBorder="1"/>
    <xf numFmtId="3" fontId="2" fillId="5" borderId="2" xfId="0" applyNumberFormat="1" applyFont="1" applyFill="1" applyBorder="1"/>
    <xf numFmtId="0" fontId="2" fillId="2" borderId="12" xfId="0" applyFont="1" applyFill="1" applyBorder="1"/>
    <xf numFmtId="0" fontId="2" fillId="2" borderId="13" xfId="0" applyFont="1" applyFill="1" applyBorder="1"/>
    <xf numFmtId="0" fontId="2" fillId="2" borderId="14" xfId="0" applyFont="1" applyFill="1" applyBorder="1"/>
    <xf numFmtId="0" fontId="4" fillId="0" borderId="0" xfId="0" applyFont="1" applyFill="1" applyAlignment="1">
      <alignment horizontal="center"/>
    </xf>
    <xf numFmtId="0" fontId="6" fillId="0" borderId="0" xfId="2" applyFont="1" applyFill="1" applyBorder="1" applyAlignment="1"/>
    <xf numFmtId="0" fontId="6" fillId="0" borderId="0" xfId="2" applyFont="1" applyFill="1" applyBorder="1" applyAlignment="1">
      <alignment horizontal="center"/>
    </xf>
    <xf numFmtId="164" fontId="6" fillId="0" borderId="0" xfId="2" applyNumberFormat="1" applyFont="1" applyFill="1" applyBorder="1" applyAlignment="1">
      <alignment horizontal="center"/>
    </xf>
    <xf numFmtId="0" fontId="6" fillId="0" borderId="0" xfId="2" applyFont="1" applyFill="1" applyAlignment="1">
      <alignment horizontal="center"/>
    </xf>
    <xf numFmtId="2"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xf>
    <xf numFmtId="2" fontId="7" fillId="0" borderId="0" xfId="2" applyNumberFormat="1" applyFont="1" applyFill="1" applyBorder="1" applyAlignment="1">
      <alignment horizontal="center"/>
    </xf>
    <xf numFmtId="2" fontId="6" fillId="0" borderId="0" xfId="2" applyNumberFormat="1" applyFont="1" applyFill="1" applyAlignment="1">
      <alignment horizontal="center"/>
    </xf>
    <xf numFmtId="2" fontId="6" fillId="0" borderId="15" xfId="2" applyNumberFormat="1" applyFont="1" applyFill="1" applyBorder="1" applyAlignment="1">
      <alignment horizontal="center"/>
    </xf>
    <xf numFmtId="1" fontId="6" fillId="0" borderId="15" xfId="2" applyNumberFormat="1" applyFont="1" applyFill="1" applyBorder="1" applyAlignment="1">
      <alignment horizontal="center"/>
    </xf>
    <xf numFmtId="0" fontId="6" fillId="0" borderId="0" xfId="2" applyFont="1" applyFill="1" applyAlignment="1">
      <alignment horizontal="center" vertical="center"/>
    </xf>
    <xf numFmtId="0" fontId="6" fillId="0" borderId="15" xfId="2" applyFont="1" applyFill="1" applyBorder="1" applyAlignment="1">
      <alignment horizontal="center" wrapText="1"/>
    </xf>
    <xf numFmtId="0" fontId="6" fillId="0" borderId="1" xfId="2" applyFont="1" applyFill="1" applyBorder="1" applyAlignment="1">
      <alignment horizontal="center" wrapText="1"/>
    </xf>
    <xf numFmtId="0" fontId="8" fillId="0" borderId="15" xfId="2" applyFont="1" applyFill="1" applyBorder="1" applyAlignment="1">
      <alignment horizontal="center" vertical="center" wrapText="1"/>
    </xf>
    <xf numFmtId="0" fontId="4" fillId="0" borderId="0" xfId="0" applyFont="1" applyFill="1" applyAlignment="1">
      <alignment horizontal="center" vertical="center"/>
    </xf>
    <xf numFmtId="0" fontId="8" fillId="0" borderId="15" xfId="2" applyFont="1" applyFill="1" applyBorder="1" applyAlignment="1">
      <alignment horizontal="center" vertical="top" wrapText="1"/>
    </xf>
    <xf numFmtId="164" fontId="6" fillId="0" borderId="15" xfId="2" applyNumberFormat="1" applyFont="1" applyFill="1" applyBorder="1" applyAlignment="1">
      <alignment horizontal="center"/>
    </xf>
    <xf numFmtId="0" fontId="6" fillId="0" borderId="15" xfId="2" applyFont="1" applyFill="1" applyBorder="1" applyAlignment="1">
      <alignment horizontal="center"/>
    </xf>
    <xf numFmtId="0" fontId="6" fillId="0" borderId="1" xfId="2" applyFont="1" applyFill="1" applyBorder="1" applyAlignment="1">
      <alignment horizontal="center" vertical="center"/>
    </xf>
    <xf numFmtId="0" fontId="4" fillId="0" borderId="15" xfId="0" applyFont="1" applyFill="1" applyBorder="1" applyAlignment="1">
      <alignment horizontal="center"/>
    </xf>
    <xf numFmtId="0" fontId="6" fillId="0" borderId="15" xfId="2" applyFont="1" applyFill="1" applyBorder="1" applyAlignment="1">
      <alignment horizontal="center" vertical="center"/>
    </xf>
    <xf numFmtId="0" fontId="6" fillId="0" borderId="15" xfId="2"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xf numFmtId="0" fontId="6" fillId="0" borderId="15" xfId="2" applyNumberFormat="1" applyFont="1" applyFill="1" applyBorder="1" applyAlignment="1">
      <alignment horizontal="center"/>
    </xf>
    <xf numFmtId="2" fontId="4" fillId="0" borderId="15" xfId="2" applyNumberFormat="1" applyFont="1" applyFill="1" applyBorder="1" applyAlignment="1">
      <alignment horizontal="center"/>
    </xf>
    <xf numFmtId="0" fontId="6" fillId="0" borderId="15" xfId="1" applyNumberFormat="1" applyFont="1" applyFill="1" applyBorder="1" applyAlignment="1">
      <alignment horizontal="center"/>
    </xf>
    <xf numFmtId="9" fontId="6" fillId="0" borderId="15" xfId="2" applyNumberFormat="1" applyFont="1" applyFill="1" applyBorder="1" applyAlignment="1">
      <alignment horizontal="center"/>
    </xf>
    <xf numFmtId="0" fontId="6" fillId="0" borderId="0" xfId="3" applyFont="1" applyFill="1" applyAlignment="1">
      <alignment horizontal="center"/>
    </xf>
    <xf numFmtId="0" fontId="6" fillId="0" borderId="0" xfId="0" applyFont="1" applyFill="1" applyBorder="1" applyAlignment="1">
      <alignment horizontal="center" wrapText="1"/>
    </xf>
    <xf numFmtId="0" fontId="6" fillId="0" borderId="0" xfId="0" applyFont="1" applyFill="1" applyBorder="1" applyAlignment="1">
      <alignment horizontal="center"/>
    </xf>
    <xf numFmtId="3" fontId="6" fillId="0" borderId="0" xfId="0" applyNumberFormat="1" applyFont="1" applyFill="1" applyAlignment="1">
      <alignment horizontal="center"/>
    </xf>
    <xf numFmtId="164" fontId="6" fillId="0" borderId="0" xfId="0" applyNumberFormat="1" applyFont="1" applyFill="1" applyBorder="1" applyAlignment="1">
      <alignment horizontal="center"/>
    </xf>
    <xf numFmtId="1" fontId="6" fillId="0" borderId="0" xfId="0" applyNumberFormat="1" applyFont="1" applyFill="1" applyBorder="1" applyAlignment="1">
      <alignment horizontal="center"/>
    </xf>
    <xf numFmtId="0" fontId="11" fillId="0" borderId="0" xfId="0" applyFont="1" applyFill="1" applyAlignment="1">
      <alignment horizontal="center" vertical="center"/>
    </xf>
    <xf numFmtId="0" fontId="4" fillId="0" borderId="0" xfId="0" applyFont="1" applyFill="1" applyBorder="1" applyAlignment="1">
      <alignment horizontal="center"/>
    </xf>
    <xf numFmtId="2" fontId="6" fillId="0" borderId="0" xfId="2" applyNumberFormat="1" applyFont="1" applyFill="1" applyBorder="1" applyAlignment="1">
      <alignment horizontal="center"/>
    </xf>
    <xf numFmtId="0" fontId="6" fillId="0" borderId="0" xfId="2" applyFont="1" applyFill="1" applyBorder="1" applyAlignment="1">
      <alignment horizontal="center" wrapText="1"/>
    </xf>
    <xf numFmtId="0" fontId="4" fillId="0" borderId="0" xfId="0" applyFont="1" applyFill="1" applyBorder="1" applyAlignment="1">
      <alignment horizontal="center" wrapText="1"/>
    </xf>
    <xf numFmtId="49" fontId="6" fillId="0" borderId="15" xfId="2" applyNumberFormat="1" applyFont="1" applyFill="1" applyBorder="1" applyAlignment="1">
      <alignment horizontal="center"/>
    </xf>
    <xf numFmtId="0" fontId="6" fillId="0" borderId="1" xfId="2" applyFont="1" applyFill="1" applyBorder="1" applyAlignment="1">
      <alignment horizontal="center" vertical="center" wrapText="1"/>
    </xf>
    <xf numFmtId="0" fontId="12" fillId="0" borderId="0" xfId="3" applyFont="1" applyFill="1" applyAlignment="1">
      <alignment horizontal="left"/>
    </xf>
    <xf numFmtId="0" fontId="2" fillId="0" borderId="0" xfId="0" applyFont="1"/>
    <xf numFmtId="0" fontId="0" fillId="0" borderId="6" xfId="0" applyFont="1" applyBorder="1"/>
    <xf numFmtId="0" fontId="0" fillId="0" borderId="1" xfId="0" applyBorder="1"/>
    <xf numFmtId="0" fontId="0" fillId="0" borderId="0" xfId="0" applyFill="1"/>
    <xf numFmtId="0" fontId="0" fillId="0" borderId="4" xfId="0" applyFont="1" applyFill="1" applyBorder="1"/>
    <xf numFmtId="0" fontId="13" fillId="0" borderId="0" xfId="0" applyFont="1"/>
    <xf numFmtId="165" fontId="0" fillId="0" borderId="9" xfId="0" applyNumberFormat="1" applyBorder="1"/>
    <xf numFmtId="165" fontId="0" fillId="0" borderId="5" xfId="0" applyNumberFormat="1" applyBorder="1"/>
    <xf numFmtId="9" fontId="2" fillId="5" borderId="2" xfId="4" applyFont="1" applyFill="1" applyBorder="1"/>
    <xf numFmtId="3" fontId="0" fillId="0" borderId="7" xfId="0" applyNumberFormat="1" applyBorder="1"/>
    <xf numFmtId="0" fontId="0" fillId="0" borderId="1" xfId="0" applyFill="1" applyBorder="1"/>
    <xf numFmtId="9" fontId="0" fillId="0" borderId="9" xfId="0" applyNumberFormat="1" applyBorder="1"/>
    <xf numFmtId="0" fontId="0" fillId="0" borderId="15" xfId="0" applyBorder="1" applyAlignment="1">
      <alignment horizontal="center"/>
    </xf>
    <xf numFmtId="0" fontId="0" fillId="0" borderId="0" xfId="0" applyAlignment="1">
      <alignment horizontal="left"/>
    </xf>
    <xf numFmtId="0" fontId="17" fillId="0" borderId="0" xfId="0" applyFont="1"/>
    <xf numFmtId="0" fontId="18" fillId="0" borderId="0" xfId="0" applyFont="1" applyFill="1" applyBorder="1" applyAlignment="1"/>
    <xf numFmtId="0" fontId="17" fillId="0" borderId="0" xfId="0" applyFont="1" applyFill="1" applyBorder="1" applyAlignment="1"/>
    <xf numFmtId="0" fontId="18" fillId="0" borderId="0" xfId="0" applyFont="1" applyFill="1" applyBorder="1" applyAlignment="1">
      <alignment horizontal="center" wrapText="1"/>
    </xf>
    <xf numFmtId="0" fontId="17" fillId="0" borderId="0" xfId="0" applyFont="1" applyFill="1" applyBorder="1" applyAlignment="1">
      <alignment horizontal="center"/>
    </xf>
    <xf numFmtId="3" fontId="18" fillId="0" borderId="0" xfId="0" applyNumberFormat="1" applyFont="1" applyFill="1" applyBorder="1" applyAlignment="1"/>
    <xf numFmtId="3" fontId="0" fillId="0" borderId="0" xfId="0" applyNumberFormat="1" applyFill="1" applyBorder="1"/>
    <xf numFmtId="0" fontId="0" fillId="0" borderId="4" xfId="0" applyFill="1" applyBorder="1"/>
    <xf numFmtId="3" fontId="17" fillId="0" borderId="0" xfId="0" applyNumberFormat="1" applyFont="1"/>
    <xf numFmtId="0" fontId="17" fillId="0" borderId="0" xfId="0" applyFont="1" applyFill="1" applyBorder="1"/>
    <xf numFmtId="0" fontId="18" fillId="0" borderId="0" xfId="0" applyFont="1" applyFill="1" applyBorder="1" applyAlignment="1">
      <alignment horizontal="center"/>
    </xf>
    <xf numFmtId="44" fontId="0" fillId="0" borderId="9" xfId="0" applyNumberFormat="1" applyBorder="1"/>
    <xf numFmtId="0" fontId="2" fillId="5" borderId="8" xfId="0" applyFont="1" applyFill="1" applyBorder="1"/>
    <xf numFmtId="0" fontId="2" fillId="5" borderId="9" xfId="0" applyFont="1" applyFill="1" applyBorder="1"/>
    <xf numFmtId="42" fontId="0" fillId="0" borderId="9" xfId="0" applyNumberFormat="1" applyBorder="1"/>
    <xf numFmtId="42" fontId="0" fillId="0" borderId="0" xfId="0" applyNumberFormat="1"/>
    <xf numFmtId="0" fontId="0" fillId="0" borderId="0" xfId="0" quotePrefix="1"/>
    <xf numFmtId="167" fontId="0" fillId="0" borderId="9" xfId="0" applyNumberFormat="1" applyBorder="1"/>
    <xf numFmtId="167" fontId="0" fillId="0" borderId="5" xfId="0" applyNumberFormat="1" applyBorder="1"/>
    <xf numFmtId="42" fontId="2" fillId="0" borderId="8" xfId="0" applyNumberFormat="1" applyFont="1" applyBorder="1"/>
    <xf numFmtId="42" fontId="0" fillId="0" borderId="10" xfId="0" applyNumberFormat="1" applyBorder="1"/>
    <xf numFmtId="42" fontId="2" fillId="0" borderId="4" xfId="0" applyNumberFormat="1" applyFont="1" applyBorder="1"/>
    <xf numFmtId="42" fontId="0" fillId="0" borderId="0" xfId="0" applyNumberFormat="1" applyBorder="1"/>
    <xf numFmtId="42" fontId="2" fillId="0" borderId="6" xfId="0" applyNumberFormat="1" applyFont="1" applyBorder="1"/>
    <xf numFmtId="42" fontId="0" fillId="0" borderId="11" xfId="0" applyNumberFormat="1" applyBorder="1"/>
    <xf numFmtId="42" fontId="2" fillId="0" borderId="11" xfId="0" applyNumberFormat="1" applyFont="1" applyBorder="1"/>
    <xf numFmtId="42" fontId="2" fillId="4" borderId="3" xfId="0" applyNumberFormat="1" applyFont="1" applyFill="1" applyBorder="1"/>
    <xf numFmtId="166" fontId="0" fillId="0" borderId="0" xfId="0" applyNumberFormat="1"/>
    <xf numFmtId="166" fontId="0" fillId="0" borderId="0" xfId="0" applyNumberFormat="1" applyBorder="1"/>
    <xf numFmtId="166" fontId="2" fillId="4" borderId="1" xfId="0" applyNumberFormat="1" applyFont="1" applyFill="1" applyBorder="1"/>
    <xf numFmtId="0" fontId="0" fillId="6" borderId="11" xfId="0" applyFill="1" applyBorder="1"/>
    <xf numFmtId="9" fontId="0" fillId="6" borderId="5" xfId="0" applyNumberFormat="1" applyFill="1" applyBorder="1"/>
    <xf numFmtId="9" fontId="0" fillId="6" borderId="5" xfId="4" applyFont="1" applyFill="1" applyBorder="1"/>
    <xf numFmtId="165" fontId="0" fillId="6" borderId="9" xfId="0" applyNumberFormat="1" applyFill="1" applyBorder="1"/>
    <xf numFmtId="9" fontId="0" fillId="5" borderId="2" xfId="4" applyFont="1" applyFill="1" applyBorder="1"/>
    <xf numFmtId="0" fontId="2" fillId="5" borderId="6" xfId="0" applyFont="1" applyFill="1" applyBorder="1"/>
    <xf numFmtId="167" fontId="2" fillId="5" borderId="7" xfId="0" applyNumberFormat="1" applyFont="1" applyFill="1" applyBorder="1"/>
    <xf numFmtId="42" fontId="0" fillId="0" borderId="21" xfId="0" applyNumberFormat="1" applyBorder="1"/>
    <xf numFmtId="0" fontId="2" fillId="5" borderId="8" xfId="0" applyFont="1" applyFill="1" applyBorder="1" applyAlignment="1">
      <alignment horizontal="left"/>
    </xf>
    <xf numFmtId="165" fontId="0" fillId="5" borderId="2" xfId="0" applyNumberFormat="1" applyFill="1" applyBorder="1"/>
    <xf numFmtId="0" fontId="0" fillId="0" borderId="8" xfId="0" quotePrefix="1" applyFont="1" applyFill="1" applyBorder="1"/>
    <xf numFmtId="0" fontId="2" fillId="0" borderId="0" xfId="0" applyFont="1" applyFill="1" applyBorder="1"/>
    <xf numFmtId="166" fontId="0" fillId="0" borderId="0" xfId="0" applyNumberFormat="1" applyFill="1" applyBorder="1"/>
    <xf numFmtId="0" fontId="2" fillId="0" borderId="0" xfId="0" applyFont="1" applyFill="1" applyAlignment="1">
      <alignment horizontal="center"/>
    </xf>
    <xf numFmtId="0" fontId="0" fillId="0" borderId="0" xfId="0" applyFill="1" applyAlignment="1">
      <alignment horizontal="center"/>
    </xf>
    <xf numFmtId="0" fontId="2" fillId="0" borderId="0" xfId="0" applyFont="1" applyFill="1"/>
    <xf numFmtId="0" fontId="1" fillId="0" borderId="0" xfId="0" applyFont="1" applyFill="1" applyBorder="1" applyAlignment="1">
      <alignment horizontal="center"/>
    </xf>
    <xf numFmtId="0" fontId="0" fillId="0" borderId="8" xfId="0" applyFill="1" applyBorder="1"/>
    <xf numFmtId="10" fontId="0" fillId="0" borderId="2" xfId="4" applyNumberFormat="1" applyFont="1" applyBorder="1"/>
    <xf numFmtId="0" fontId="0" fillId="6" borderId="22" xfId="0" applyFill="1" applyBorder="1"/>
    <xf numFmtId="0" fontId="0" fillId="6" borderId="15" xfId="0" applyFill="1" applyBorder="1"/>
    <xf numFmtId="9" fontId="0" fillId="0" borderId="5" xfId="4" applyFont="1" applyFill="1" applyBorder="1"/>
    <xf numFmtId="9" fontId="0" fillId="0" borderId="5" xfId="0" applyNumberFormat="1" applyFill="1" applyBorder="1"/>
    <xf numFmtId="167" fontId="0" fillId="0" borderId="0" xfId="0" applyNumberFormat="1" applyBorder="1"/>
    <xf numFmtId="42" fontId="0" fillId="0" borderId="0" xfId="0" applyNumberFormat="1" applyFill="1" applyBorder="1"/>
    <xf numFmtId="42" fontId="2" fillId="0" borderId="0" xfId="0" applyNumberFormat="1" applyFont="1" applyFill="1" applyBorder="1"/>
    <xf numFmtId="165" fontId="0" fillId="0" borderId="0" xfId="0" applyNumberFormat="1"/>
    <xf numFmtId="167" fontId="0" fillId="0" borderId="0" xfId="0" applyNumberFormat="1"/>
    <xf numFmtId="167" fontId="2" fillId="0" borderId="0" xfId="0" applyNumberFormat="1" applyFont="1" applyFill="1" applyBorder="1"/>
    <xf numFmtId="165" fontId="0" fillId="0" borderId="0" xfId="0" applyNumberFormat="1" applyFill="1" applyBorder="1"/>
    <xf numFmtId="0" fontId="2" fillId="2" borderId="1" xfId="0" applyFont="1" applyFill="1" applyBorder="1" applyAlignment="1">
      <alignment horizontal="center"/>
    </xf>
    <xf numFmtId="0" fontId="2" fillId="2" borderId="2" xfId="0" applyFont="1" applyFill="1" applyBorder="1" applyAlignment="1">
      <alignment horizontal="center"/>
    </xf>
    <xf numFmtId="0" fontId="21" fillId="0" borderId="0" xfId="0" applyFont="1"/>
    <xf numFmtId="0" fontId="2" fillId="2" borderId="27" xfId="0" applyFont="1" applyFill="1" applyBorder="1"/>
    <xf numFmtId="0" fontId="2" fillId="2" borderId="18" xfId="0" applyFont="1" applyFill="1" applyBorder="1"/>
    <xf numFmtId="165" fontId="0" fillId="0" borderId="20" xfId="0" applyNumberFormat="1" applyFill="1" applyBorder="1"/>
    <xf numFmtId="44" fontId="0" fillId="0" borderId="0" xfId="0" applyNumberFormat="1"/>
    <xf numFmtId="165" fontId="0" fillId="0" borderId="14" xfId="0" applyNumberFormat="1" applyBorder="1"/>
    <xf numFmtId="0" fontId="0" fillId="2" borderId="12" xfId="0" applyFill="1" applyBorder="1"/>
    <xf numFmtId="167" fontId="2" fillId="10" borderId="29" xfId="0" applyNumberFormat="1" applyFont="1" applyFill="1" applyBorder="1"/>
    <xf numFmtId="167" fontId="0" fillId="0" borderId="0" xfId="0" applyNumberFormat="1" applyFill="1" applyBorder="1"/>
    <xf numFmtId="44" fontId="0" fillId="0" borderId="0" xfId="0" applyNumberFormat="1" applyFill="1" applyBorder="1"/>
    <xf numFmtId="165" fontId="2" fillId="10" borderId="14" xfId="0" applyNumberFormat="1" applyFont="1" applyFill="1" applyBorder="1"/>
    <xf numFmtId="3" fontId="0" fillId="0" borderId="0" xfId="0" applyNumberFormat="1" applyFont="1"/>
    <xf numFmtId="0" fontId="0" fillId="0" borderId="0" xfId="0" applyFont="1"/>
    <xf numFmtId="0" fontId="0" fillId="0" borderId="0" xfId="0" applyFont="1" applyFill="1" applyBorder="1"/>
    <xf numFmtId="3" fontId="0" fillId="0" borderId="0" xfId="0" applyNumberFormat="1" applyFont="1" applyFill="1" applyBorder="1"/>
    <xf numFmtId="165" fontId="0" fillId="11" borderId="14" xfId="0" applyNumberFormat="1" applyFill="1" applyBorder="1"/>
    <xf numFmtId="0" fontId="2" fillId="2" borderId="1" xfId="0" applyFont="1" applyFill="1" applyBorder="1" applyAlignment="1">
      <alignment horizontal="center"/>
    </xf>
    <xf numFmtId="0" fontId="2" fillId="2" borderId="2" xfId="0" applyFont="1" applyFill="1" applyBorder="1" applyAlignment="1">
      <alignment horizontal="center"/>
    </xf>
    <xf numFmtId="0" fontId="13" fillId="0" borderId="0" xfId="0" applyFont="1" applyAlignment="1">
      <alignment horizontal="center"/>
    </xf>
    <xf numFmtId="0" fontId="14" fillId="0" borderId="12" xfId="0" applyFont="1" applyFill="1" applyBorder="1"/>
    <xf numFmtId="0" fontId="0" fillId="0" borderId="14" xfId="0" applyBorder="1"/>
    <xf numFmtId="3" fontId="2" fillId="0" borderId="0" xfId="0" applyNumberFormat="1" applyFont="1" applyBorder="1" applyAlignment="1">
      <alignment horizontal="center"/>
    </xf>
    <xf numFmtId="3" fontId="0" fillId="0" borderId="0" xfId="0" applyNumberFormat="1" applyFill="1" applyBorder="1" applyAlignment="1">
      <alignment horizontal="center"/>
    </xf>
    <xf numFmtId="0" fontId="0" fillId="6" borderId="23" xfId="0" applyFill="1" applyBorder="1"/>
    <xf numFmtId="0" fontId="0" fillId="0" borderId="2" xfId="0" applyBorder="1"/>
    <xf numFmtId="165" fontId="0" fillId="0" borderId="3" xfId="0" applyNumberFormat="1" applyBorder="1"/>
    <xf numFmtId="165" fontId="0" fillId="6" borderId="14" xfId="0" applyNumberFormat="1" applyFill="1" applyBorder="1"/>
    <xf numFmtId="0" fontId="2" fillId="0" borderId="4" xfId="0" applyFont="1" applyBorder="1"/>
    <xf numFmtId="42" fontId="0" fillId="0" borderId="0" xfId="1" applyNumberFormat="1" applyFont="1" applyBorder="1" applyAlignment="1">
      <alignment horizontal="right"/>
    </xf>
    <xf numFmtId="0" fontId="2" fillId="5" borderId="3" xfId="0" applyFont="1" applyFill="1" applyBorder="1"/>
    <xf numFmtId="0" fontId="2" fillId="0" borderId="8" xfId="0" applyFont="1" applyBorder="1"/>
    <xf numFmtId="0" fontId="2" fillId="0" borderId="6" xfId="0" applyFont="1" applyFill="1" applyBorder="1"/>
    <xf numFmtId="0" fontId="2" fillId="0" borderId="16" xfId="0" applyFont="1" applyBorder="1"/>
    <xf numFmtId="0" fontId="2" fillId="0" borderId="32" xfId="0" applyFont="1" applyBorder="1"/>
    <xf numFmtId="0" fontId="0" fillId="0" borderId="5" xfId="0" applyBorder="1"/>
    <xf numFmtId="0" fontId="2" fillId="8" borderId="21" xfId="0" applyFont="1" applyFill="1" applyBorder="1"/>
    <xf numFmtId="3" fontId="0" fillId="0" borderId="9" xfId="0" applyNumberFormat="1" applyBorder="1"/>
    <xf numFmtId="0" fontId="2" fillId="2" borderId="28" xfId="0" applyFont="1" applyFill="1" applyBorder="1"/>
    <xf numFmtId="0" fontId="2" fillId="2" borderId="29" xfId="0" applyFont="1" applyFill="1" applyBorder="1"/>
    <xf numFmtId="0" fontId="0" fillId="0" borderId="15" xfId="0" applyFont="1" applyFill="1" applyBorder="1" applyAlignment="1">
      <alignment horizontal="center"/>
    </xf>
    <xf numFmtId="0" fontId="2" fillId="0" borderId="33" xfId="0" quotePrefix="1" applyFont="1" applyBorder="1"/>
    <xf numFmtId="0" fontId="2" fillId="0" borderId="35" xfId="0" applyFont="1" applyBorder="1"/>
    <xf numFmtId="0" fontId="2" fillId="0" borderId="37" xfId="0" applyFont="1" applyBorder="1"/>
    <xf numFmtId="0" fontId="2" fillId="0" borderId="35" xfId="0" applyFont="1" applyFill="1" applyBorder="1"/>
    <xf numFmtId="0" fontId="2" fillId="5" borderId="10" xfId="0" applyFont="1" applyFill="1" applyBorder="1"/>
    <xf numFmtId="0" fontId="0" fillId="0" borderId="4" xfId="0" applyFont="1" applyBorder="1"/>
    <xf numFmtId="42" fontId="0" fillId="0" borderId="5" xfId="0" applyNumberFormat="1" applyBorder="1"/>
    <xf numFmtId="42" fontId="0" fillId="0" borderId="0" xfId="1" applyNumberFormat="1" applyFont="1" applyFill="1" applyBorder="1" applyAlignment="1">
      <alignment horizontal="right"/>
    </xf>
    <xf numFmtId="0" fontId="2" fillId="0" borderId="35" xfId="0" applyFont="1" applyBorder="1" applyAlignment="1">
      <alignment vertical="center"/>
    </xf>
    <xf numFmtId="0" fontId="0" fillId="0" borderId="15" xfId="0" applyFont="1" applyFill="1" applyBorder="1" applyAlignment="1">
      <alignment horizontal="center" wrapText="1"/>
    </xf>
    <xf numFmtId="3" fontId="2" fillId="0" borderId="0" xfId="0" applyNumberFormat="1" applyFont="1" applyFill="1" applyBorder="1" applyAlignment="1">
      <alignment horizontal="center"/>
    </xf>
    <xf numFmtId="0" fontId="14" fillId="0" borderId="21" xfId="0" applyFont="1" applyFill="1" applyBorder="1"/>
    <xf numFmtId="165" fontId="0" fillId="0" borderId="21" xfId="0" applyNumberFormat="1" applyBorder="1"/>
    <xf numFmtId="0" fontId="0" fillId="0" borderId="5" xfId="0" applyFill="1" applyBorder="1"/>
    <xf numFmtId="0" fontId="0" fillId="0" borderId="20" xfId="0" applyNumberFormat="1" applyFill="1" applyBorder="1"/>
    <xf numFmtId="0" fontId="14" fillId="0" borderId="0" xfId="0" applyFont="1" applyFill="1" applyBorder="1"/>
    <xf numFmtId="0" fontId="0" fillId="0" borderId="15" xfId="0" applyFont="1" applyFill="1" applyBorder="1" applyAlignment="1">
      <alignment horizontal="center" vertic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3" fontId="0" fillId="0" borderId="39" xfId="0" applyNumberFormat="1" applyBorder="1" applyAlignment="1">
      <alignment horizontal="center"/>
    </xf>
    <xf numFmtId="0" fontId="0" fillId="8" borderId="18" xfId="0" applyFill="1" applyBorder="1"/>
    <xf numFmtId="0" fontId="0" fillId="8" borderId="19" xfId="0" applyFill="1" applyBorder="1"/>
    <xf numFmtId="0" fontId="0" fillId="8" borderId="20" xfId="0" applyFill="1" applyBorder="1"/>
    <xf numFmtId="3" fontId="0" fillId="0" borderId="40" xfId="0" applyNumberFormat="1" applyBorder="1"/>
    <xf numFmtId="0" fontId="0" fillId="8" borderId="19" xfId="0" applyFill="1" applyBorder="1" applyAlignment="1">
      <alignment horizontal="center"/>
    </xf>
    <xf numFmtId="0" fontId="0" fillId="8" borderId="20" xfId="0" applyFill="1" applyBorder="1" applyAlignment="1">
      <alignment horizontal="center"/>
    </xf>
    <xf numFmtId="3" fontId="2" fillId="0" borderId="18" xfId="0" applyNumberFormat="1" applyFont="1" applyBorder="1" applyAlignment="1">
      <alignment horizontal="center"/>
    </xf>
    <xf numFmtId="0" fontId="2" fillId="0" borderId="20" xfId="0" applyFont="1" applyFill="1" applyBorder="1" applyAlignment="1">
      <alignment horizontal="center"/>
    </xf>
    <xf numFmtId="0" fontId="0" fillId="6" borderId="15" xfId="0" applyFill="1" applyBorder="1" applyAlignment="1">
      <alignment horizontal="center"/>
    </xf>
    <xf numFmtId="0" fontId="0" fillId="0" borderId="15" xfId="0" applyFill="1" applyBorder="1" applyAlignment="1">
      <alignment horizontal="center"/>
    </xf>
    <xf numFmtId="3" fontId="0" fillId="0" borderId="15" xfId="0" applyNumberFormat="1" applyBorder="1" applyAlignment="1">
      <alignment horizontal="center"/>
    </xf>
    <xf numFmtId="0" fontId="0" fillId="0" borderId="15" xfId="0" applyFont="1" applyBorder="1" applyAlignment="1">
      <alignment horizontal="center"/>
    </xf>
    <xf numFmtId="0" fontId="0" fillId="12" borderId="15" xfId="0" applyFill="1" applyBorder="1" applyAlignment="1">
      <alignment horizontal="center"/>
    </xf>
    <xf numFmtId="0" fontId="0" fillId="12" borderId="15" xfId="0" applyFont="1" applyFill="1" applyBorder="1" applyAlignment="1">
      <alignment horizontal="center"/>
    </xf>
    <xf numFmtId="0" fontId="22" fillId="0" borderId="0" xfId="0" applyFont="1"/>
    <xf numFmtId="3" fontId="0" fillId="0" borderId="39" xfId="0" applyNumberFormat="1" applyBorder="1"/>
    <xf numFmtId="0" fontId="22" fillId="0" borderId="0" xfId="0" applyFont="1" applyAlignment="1"/>
    <xf numFmtId="42" fontId="0" fillId="0" borderId="34" xfId="0" applyNumberFormat="1" applyBorder="1"/>
    <xf numFmtId="42" fontId="0" fillId="0" borderId="36" xfId="0" applyNumberFormat="1" applyFont="1" applyBorder="1"/>
    <xf numFmtId="165" fontId="0" fillId="0" borderId="36" xfId="0" applyNumberFormat="1" applyBorder="1"/>
    <xf numFmtId="165" fontId="0" fillId="0" borderId="36" xfId="0" applyNumberFormat="1" applyBorder="1" applyAlignment="1">
      <alignment vertical="center"/>
    </xf>
    <xf numFmtId="165" fontId="0" fillId="0" borderId="38" xfId="0" applyNumberFormat="1" applyBorder="1"/>
    <xf numFmtId="165" fontId="0" fillId="0" borderId="30" xfId="0" applyNumberFormat="1" applyBorder="1"/>
    <xf numFmtId="165" fontId="0" fillId="0" borderId="17" xfId="0" applyNumberFormat="1" applyBorder="1"/>
    <xf numFmtId="165" fontId="0" fillId="0" borderId="20" xfId="0" applyNumberFormat="1" applyBorder="1"/>
    <xf numFmtId="42" fontId="0" fillId="0" borderId="9" xfId="0" applyNumberFormat="1" applyFill="1" applyBorder="1" applyAlignment="1"/>
    <xf numFmtId="42" fontId="0" fillId="0" borderId="5" xfId="1" applyNumberFormat="1" applyFont="1" applyFill="1" applyBorder="1" applyAlignment="1"/>
    <xf numFmtId="42" fontId="0" fillId="0" borderId="7" xfId="1" applyNumberFormat="1" applyFont="1" applyFill="1" applyBorder="1" applyAlignment="1"/>
    <xf numFmtId="42" fontId="0" fillId="0" borderId="9" xfId="0" applyNumberFormat="1" applyFill="1" applyBorder="1"/>
    <xf numFmtId="42" fontId="0" fillId="0" borderId="5" xfId="0" applyNumberFormat="1" applyFill="1" applyBorder="1"/>
    <xf numFmtId="166" fontId="0" fillId="0" borderId="9" xfId="0" applyNumberFormat="1" applyFill="1" applyBorder="1" applyAlignment="1">
      <alignment horizontal="center"/>
    </xf>
    <xf numFmtId="166" fontId="0" fillId="0" borderId="7" xfId="0" applyNumberFormat="1" applyFill="1" applyBorder="1" applyAlignment="1">
      <alignment horizontal="center"/>
    </xf>
    <xf numFmtId="168" fontId="0" fillId="0" borderId="2" xfId="0" applyNumberFormat="1" applyFill="1" applyBorder="1"/>
    <xf numFmtId="166" fontId="0" fillId="0" borderId="2" xfId="0" applyNumberFormat="1" applyFill="1" applyBorder="1"/>
    <xf numFmtId="42" fontId="0" fillId="0" borderId="11" xfId="0" applyNumberFormat="1" applyFill="1" applyBorder="1" applyAlignment="1">
      <alignment horizontal="right"/>
    </xf>
    <xf numFmtId="166" fontId="0" fillId="0" borderId="7" xfId="0" applyNumberFormat="1" applyFill="1" applyBorder="1"/>
    <xf numFmtId="42" fontId="0" fillId="0" borderId="10" xfId="0" applyNumberFormat="1" applyFill="1" applyBorder="1" applyAlignment="1">
      <alignment horizontal="right"/>
    </xf>
    <xf numFmtId="166" fontId="0" fillId="0" borderId="9" xfId="0" applyNumberFormat="1" applyFill="1" applyBorder="1"/>
    <xf numFmtId="166" fontId="0" fillId="0" borderId="5" xfId="0" applyNumberFormat="1" applyFill="1" applyBorder="1"/>
    <xf numFmtId="166" fontId="0" fillId="0" borderId="0" xfId="0" applyNumberFormat="1" applyFill="1" applyBorder="1" applyAlignment="1">
      <alignment horizontal="right"/>
    </xf>
    <xf numFmtId="42" fontId="0" fillId="0" borderId="11" xfId="1" applyNumberFormat="1" applyFont="1" applyFill="1" applyBorder="1" applyAlignment="1">
      <alignment horizontal="right"/>
    </xf>
    <xf numFmtId="42" fontId="0" fillId="0" borderId="10" xfId="1" applyNumberFormat="1" applyFont="1" applyFill="1" applyBorder="1" applyAlignment="1">
      <alignment horizontal="right"/>
    </xf>
    <xf numFmtId="42" fontId="0" fillId="0" borderId="3" xfId="1" applyNumberFormat="1" applyFont="1" applyFill="1" applyBorder="1" applyAlignment="1">
      <alignment horizontal="right"/>
    </xf>
    <xf numFmtId="0" fontId="4" fillId="13" borderId="0" xfId="0" applyFont="1" applyFill="1" applyAlignment="1">
      <alignment horizontal="center"/>
    </xf>
    <xf numFmtId="0" fontId="4" fillId="13" borderId="0" xfId="0" applyFont="1" applyFill="1" applyAlignment="1">
      <alignment horizontal="center" vertical="center"/>
    </xf>
    <xf numFmtId="0" fontId="6" fillId="13" borderId="0" xfId="3" applyFont="1" applyFill="1" applyAlignment="1">
      <alignment horizontal="center"/>
    </xf>
    <xf numFmtId="0" fontId="8" fillId="0" borderId="15" xfId="2" applyFont="1" applyFill="1" applyBorder="1" applyAlignment="1">
      <alignment horizontal="center" vertical="center"/>
    </xf>
    <xf numFmtId="0" fontId="2" fillId="0" borderId="0" xfId="0" applyNumberFormat="1" applyFont="1" applyFill="1" applyBorder="1"/>
    <xf numFmtId="0" fontId="2" fillId="0" borderId="18" xfId="0" applyFont="1" applyBorder="1"/>
    <xf numFmtId="0" fontId="2" fillId="0" borderId="0" xfId="0" applyFont="1" applyAlignment="1">
      <alignment horizontal="center"/>
    </xf>
    <xf numFmtId="0" fontId="0" fillId="12" borderId="7" xfId="0" applyFill="1" applyBorder="1"/>
    <xf numFmtId="3" fontId="0" fillId="0" borderId="0" xfId="0" applyNumberFormat="1" applyBorder="1" applyAlignment="1">
      <alignment horizontal="center" vertical="center" wrapText="1"/>
    </xf>
    <xf numFmtId="0" fontId="0" fillId="0" borderId="12" xfId="0" applyFill="1" applyBorder="1"/>
    <xf numFmtId="0" fontId="0" fillId="6" borderId="14" xfId="0" applyFill="1" applyBorder="1"/>
    <xf numFmtId="0" fontId="0" fillId="6" borderId="13" xfId="0" applyFill="1" applyBorder="1"/>
    <xf numFmtId="0" fontId="1" fillId="14" borderId="39" xfId="0" applyFont="1" applyFill="1" applyBorder="1"/>
    <xf numFmtId="0" fontId="2" fillId="7" borderId="41" xfId="0" applyFont="1" applyFill="1" applyBorder="1"/>
    <xf numFmtId="42" fontId="0" fillId="0" borderId="42" xfId="0" applyNumberFormat="1" applyBorder="1"/>
    <xf numFmtId="42" fontId="0" fillId="0" borderId="1" xfId="0" applyNumberFormat="1" applyFont="1" applyBorder="1"/>
    <xf numFmtId="165" fontId="0" fillId="0" borderId="1" xfId="0" applyNumberFormat="1" applyBorder="1"/>
    <xf numFmtId="3" fontId="1" fillId="14" borderId="15" xfId="0" applyNumberFormat="1" applyFont="1" applyFill="1" applyBorder="1"/>
    <xf numFmtId="3" fontId="23" fillId="2" borderId="41" xfId="0" applyNumberFormat="1" applyFont="1" applyFill="1" applyBorder="1" applyAlignment="1">
      <alignment horizontal="center"/>
    </xf>
    <xf numFmtId="0" fontId="2" fillId="2" borderId="41" xfId="0" applyFont="1" applyFill="1" applyBorder="1"/>
    <xf numFmtId="3" fontId="2" fillId="0" borderId="43" xfId="0" applyNumberFormat="1" applyFont="1" applyFill="1" applyBorder="1" applyAlignment="1">
      <alignment horizontal="center"/>
    </xf>
    <xf numFmtId="0" fontId="2" fillId="0" borderId="21" xfId="0" applyFont="1" applyBorder="1" applyAlignment="1">
      <alignment horizontal="center"/>
    </xf>
    <xf numFmtId="0" fontId="0" fillId="0" borderId="2" xfId="0" applyFill="1" applyBorder="1" applyAlignment="1">
      <alignment horizontal="center"/>
    </xf>
    <xf numFmtId="0" fontId="0" fillId="12" borderId="2" xfId="0" applyFill="1" applyBorder="1" applyAlignment="1">
      <alignment horizontal="center"/>
    </xf>
    <xf numFmtId="165" fontId="0" fillId="0" borderId="0" xfId="0" applyNumberFormat="1" applyFont="1" applyFill="1" applyBorder="1"/>
    <xf numFmtId="3" fontId="2" fillId="0" borderId="0" xfId="0" applyNumberFormat="1" applyFont="1" applyFill="1" applyBorder="1"/>
    <xf numFmtId="0" fontId="2" fillId="0" borderId="45" xfId="0" quotePrefix="1" applyFont="1" applyBorder="1"/>
    <xf numFmtId="0" fontId="2" fillId="0" borderId="2" xfId="0" applyFont="1" applyBorder="1"/>
    <xf numFmtId="0" fontId="2" fillId="0" borderId="19" xfId="0" applyFont="1" applyBorder="1"/>
    <xf numFmtId="0" fontId="2" fillId="0" borderId="2" xfId="0" applyFont="1" applyBorder="1" applyAlignment="1">
      <alignment vertical="center"/>
    </xf>
    <xf numFmtId="0" fontId="2" fillId="0" borderId="2" xfId="0" applyFont="1" applyFill="1" applyBorder="1"/>
    <xf numFmtId="0" fontId="2" fillId="0" borderId="11" xfId="0" applyFont="1" applyBorder="1"/>
    <xf numFmtId="0" fontId="2" fillId="9" borderId="1" xfId="0" applyFont="1" applyFill="1" applyBorder="1" applyAlignment="1">
      <alignment horizontal="center"/>
    </xf>
    <xf numFmtId="0" fontId="2" fillId="9" borderId="2"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0" borderId="14" xfId="0" applyFont="1" applyBorder="1" applyAlignment="1">
      <alignment horizontal="center"/>
    </xf>
    <xf numFmtId="0" fontId="0" fillId="6" borderId="5" xfId="0" applyFill="1" applyBorder="1"/>
    <xf numFmtId="44" fontId="0" fillId="6" borderId="7" xfId="0" applyNumberFormat="1" applyFill="1" applyBorder="1"/>
    <xf numFmtId="169" fontId="0" fillId="0" borderId="5" xfId="0" applyNumberFormat="1" applyFill="1" applyBorder="1"/>
    <xf numFmtId="167" fontId="0" fillId="0" borderId="7" xfId="0" applyNumberFormat="1" applyFill="1" applyBorder="1"/>
    <xf numFmtId="0" fontId="2" fillId="0" borderId="12" xfId="0" applyFont="1" applyBorder="1"/>
    <xf numFmtId="0" fontId="0" fillId="6" borderId="47" xfId="0" applyFill="1" applyBorder="1"/>
    <xf numFmtId="3" fontId="1" fillId="14" borderId="15" xfId="0" applyNumberFormat="1"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3" fontId="0" fillId="0" borderId="2" xfId="0" applyNumberFormat="1" applyBorder="1"/>
    <xf numFmtId="44" fontId="0" fillId="0" borderId="2" xfId="0" applyNumberFormat="1" applyBorder="1"/>
    <xf numFmtId="0" fontId="2" fillId="0" borderId="1" xfId="0" applyFont="1" applyFill="1" applyBorder="1"/>
    <xf numFmtId="165" fontId="0" fillId="0" borderId="2" xfId="0" applyNumberFormat="1" applyBorder="1"/>
    <xf numFmtId="9" fontId="2" fillId="0" borderId="0" xfId="4" applyFont="1" applyFill="1" applyBorder="1"/>
    <xf numFmtId="3" fontId="2" fillId="0" borderId="43" xfId="0" applyNumberFormat="1" applyFont="1" applyFill="1" applyBorder="1" applyAlignment="1">
      <alignment horizontal="left"/>
    </xf>
    <xf numFmtId="0" fontId="0" fillId="0" borderId="0" xfId="0" applyBorder="1" applyAlignment="1">
      <alignment horizontal="left"/>
    </xf>
    <xf numFmtId="0" fontId="2" fillId="0" borderId="12" xfId="0" applyFont="1" applyBorder="1" applyAlignment="1">
      <alignment horizontal="left"/>
    </xf>
    <xf numFmtId="0" fontId="2" fillId="5" borderId="2" xfId="0" applyNumberFormat="1" applyFont="1" applyFill="1" applyBorder="1"/>
    <xf numFmtId="0" fontId="0" fillId="0" borderId="7" xfId="0" applyNumberFormat="1" applyBorder="1"/>
    <xf numFmtId="44" fontId="0" fillId="5" borderId="2" xfId="0" applyNumberFormat="1" applyFill="1" applyBorder="1"/>
    <xf numFmtId="0" fontId="0" fillId="0" borderId="1" xfId="0" applyFont="1" applyFill="1" applyBorder="1"/>
    <xf numFmtId="0" fontId="0" fillId="0" borderId="0" xfId="0" applyAlignment="1">
      <alignment horizontal="center"/>
    </xf>
    <xf numFmtId="0" fontId="0" fillId="0" borderId="18" xfId="0" applyBorder="1"/>
    <xf numFmtId="0" fontId="0" fillId="0" borderId="48" xfId="0" applyBorder="1"/>
    <xf numFmtId="0" fontId="0" fillId="0" borderId="32" xfId="0" applyBorder="1"/>
    <xf numFmtId="165" fontId="0" fillId="0" borderId="49" xfId="0" applyNumberFormat="1" applyBorder="1"/>
    <xf numFmtId="165" fontId="0" fillId="0" borderId="50" xfId="0" applyNumberFormat="1" applyBorder="1"/>
    <xf numFmtId="0" fontId="0" fillId="5" borderId="0" xfId="0" applyFill="1"/>
    <xf numFmtId="165" fontId="0" fillId="5" borderId="0" xfId="0" applyNumberFormat="1" applyFill="1"/>
    <xf numFmtId="0" fontId="2" fillId="5" borderId="0" xfId="0" applyFont="1" applyFill="1"/>
    <xf numFmtId="169" fontId="0" fillId="0" borderId="0" xfId="0" applyNumberFormat="1"/>
    <xf numFmtId="0" fontId="27" fillId="0" borderId="0" xfId="0" applyFont="1"/>
    <xf numFmtId="0" fontId="14" fillId="0" borderId="18" xfId="0" applyFont="1" applyFill="1" applyBorder="1"/>
    <xf numFmtId="0" fontId="2" fillId="8" borderId="39" xfId="0" applyFont="1" applyFill="1" applyBorder="1"/>
    <xf numFmtId="0" fontId="0" fillId="0" borderId="20" xfId="0" applyBorder="1"/>
    <xf numFmtId="42" fontId="0" fillId="0" borderId="39" xfId="0" applyNumberFormat="1" applyBorder="1"/>
    <xf numFmtId="0" fontId="0" fillId="6" borderId="0" xfId="0" applyFill="1" applyBorder="1"/>
    <xf numFmtId="42" fontId="0" fillId="0" borderId="30" xfId="0" applyNumberFormat="1" applyBorder="1"/>
    <xf numFmtId="0" fontId="0" fillId="0" borderId="6" xfId="0" applyFont="1" applyFill="1" applyBorder="1"/>
    <xf numFmtId="42" fontId="0" fillId="0" borderId="7" xfId="0" applyNumberFormat="1" applyFill="1" applyBorder="1"/>
    <xf numFmtId="0" fontId="0" fillId="0" borderId="24" xfId="0" applyFont="1" applyFill="1" applyBorder="1" applyAlignment="1">
      <alignment horizontal="center" vertical="center"/>
    </xf>
    <xf numFmtId="166" fontId="0" fillId="0" borderId="5" xfId="0" applyNumberFormat="1" applyFont="1" applyFill="1" applyBorder="1"/>
    <xf numFmtId="166" fontId="0" fillId="0" borderId="9" xfId="0" applyNumberFormat="1" applyFont="1" applyFill="1" applyBorder="1"/>
    <xf numFmtId="166" fontId="0" fillId="0" borderId="7" xfId="0" applyNumberFormat="1" applyFont="1" applyFill="1" applyBorder="1"/>
    <xf numFmtId="166" fontId="0" fillId="6" borderId="11" xfId="0" applyNumberFormat="1" applyFill="1" applyBorder="1"/>
    <xf numFmtId="0" fontId="29" fillId="0" borderId="21" xfId="0" applyFont="1" applyBorder="1" applyAlignment="1">
      <alignment horizontal="center" vertical="center"/>
    </xf>
    <xf numFmtId="0" fontId="2" fillId="0" borderId="0" xfId="0" applyFont="1" applyBorder="1" applyAlignment="1">
      <alignment vertical="center" textRotation="255"/>
    </xf>
    <xf numFmtId="0" fontId="0" fillId="0" borderId="0" xfId="0" applyFont="1" applyFill="1" applyBorder="1" applyAlignment="1">
      <alignment horizontal="center"/>
    </xf>
    <xf numFmtId="165" fontId="0" fillId="0" borderId="0" xfId="0" applyNumberFormat="1" applyBorder="1"/>
    <xf numFmtId="165" fontId="0" fillId="0" borderId="15" xfId="0" applyNumberFormat="1" applyBorder="1"/>
    <xf numFmtId="0" fontId="0" fillId="7" borderId="0" xfId="0" applyFill="1" applyBorder="1"/>
    <xf numFmtId="0" fontId="2" fillId="0" borderId="0" xfId="0" applyFont="1" applyBorder="1" applyAlignment="1">
      <alignment vertical="center" textRotation="255" wrapText="1"/>
    </xf>
    <xf numFmtId="0" fontId="2" fillId="0" borderId="0" xfId="0" applyFont="1" applyBorder="1" applyAlignment="1">
      <alignment vertical="center" wrapText="1"/>
    </xf>
    <xf numFmtId="0" fontId="2" fillId="0" borderId="33" xfId="0" applyFont="1" applyBorder="1"/>
    <xf numFmtId="0" fontId="0" fillId="0" borderId="22" xfId="0" applyFont="1" applyFill="1" applyBorder="1" applyAlignment="1">
      <alignment horizontal="center" vertical="center"/>
    </xf>
    <xf numFmtId="165" fontId="0" fillId="0" borderId="34" xfId="0" applyNumberFormat="1" applyBorder="1"/>
    <xf numFmtId="0" fontId="0" fillId="0" borderId="23" xfId="0" applyFont="1" applyFill="1" applyBorder="1" applyAlignment="1">
      <alignment horizontal="center"/>
    </xf>
    <xf numFmtId="0" fontId="29" fillId="0" borderId="14" xfId="0" applyFont="1" applyBorder="1" applyAlignment="1">
      <alignment horizontal="center" vertical="center"/>
    </xf>
    <xf numFmtId="0" fontId="2" fillId="0" borderId="0" xfId="0" applyFont="1" applyBorder="1" applyAlignment="1">
      <alignment vertical="center"/>
    </xf>
    <xf numFmtId="165" fontId="0" fillId="0" borderId="39" xfId="0" applyNumberFormat="1" applyBorder="1"/>
    <xf numFmtId="0" fontId="2" fillId="0" borderId="51" xfId="0" applyFont="1" applyBorder="1"/>
    <xf numFmtId="165" fontId="0" fillId="0" borderId="52" xfId="0" applyNumberFormat="1" applyBorder="1"/>
    <xf numFmtId="0" fontId="0" fillId="0" borderId="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wrapText="1"/>
    </xf>
    <xf numFmtId="0" fontId="2" fillId="0" borderId="21" xfId="0" applyFont="1" applyFill="1" applyBorder="1" applyAlignment="1">
      <alignment vertical="center"/>
    </xf>
    <xf numFmtId="0" fontId="0" fillId="0" borderId="0" xfId="0" applyAlignment="1">
      <alignment vertical="center"/>
    </xf>
    <xf numFmtId="0" fontId="2" fillId="0" borderId="10" xfId="0" applyFont="1" applyBorder="1"/>
    <xf numFmtId="0" fontId="0" fillId="0" borderId="8" xfId="0" applyFont="1" applyFill="1" applyBorder="1" applyAlignment="1">
      <alignment horizontal="center" vertical="center"/>
    </xf>
    <xf numFmtId="0" fontId="0" fillId="6" borderId="24" xfId="0" applyFill="1" applyBorder="1"/>
    <xf numFmtId="0" fontId="14" fillId="0" borderId="43" xfId="0" applyFont="1" applyFill="1" applyBorder="1"/>
    <xf numFmtId="0" fontId="2" fillId="8" borderId="53" xfId="0" applyFont="1" applyFill="1" applyBorder="1"/>
    <xf numFmtId="0" fontId="0" fillId="0" borderId="53" xfId="0" applyBorder="1"/>
    <xf numFmtId="165" fontId="0" fillId="0" borderId="47" xfId="0" applyNumberFormat="1" applyBorder="1"/>
    <xf numFmtId="3" fontId="0" fillId="0" borderId="26" xfId="0" applyNumberFormat="1" applyBorder="1" applyAlignment="1">
      <alignment horizontal="center" vertical="center" wrapText="1"/>
    </xf>
    <xf numFmtId="0" fontId="25" fillId="0" borderId="0" xfId="0" applyFont="1" applyBorder="1" applyAlignment="1">
      <alignment horizontal="center" vertical="center" wrapText="1"/>
    </xf>
    <xf numFmtId="0" fontId="2" fillId="0" borderId="0" xfId="0" applyFont="1" applyBorder="1" applyAlignment="1">
      <alignment horizontal="center"/>
    </xf>
    <xf numFmtId="3" fontId="1" fillId="0" borderId="0" xfId="0" applyNumberFormat="1" applyFont="1" applyFill="1" applyBorder="1" applyAlignment="1">
      <alignment horizontal="center"/>
    </xf>
    <xf numFmtId="3" fontId="0" fillId="0" borderId="31" xfId="0" applyNumberFormat="1" applyBorder="1" applyAlignment="1">
      <alignment vertical="center" wrapText="1"/>
    </xf>
    <xf numFmtId="3" fontId="0" fillId="0" borderId="25" xfId="0" applyNumberFormat="1" applyBorder="1" applyAlignment="1">
      <alignment vertical="center" wrapText="1"/>
    </xf>
    <xf numFmtId="0" fontId="2" fillId="0" borderId="21" xfId="0" applyFont="1" applyFill="1" applyBorder="1"/>
    <xf numFmtId="0" fontId="0" fillId="0" borderId="21" xfId="0" applyBorder="1"/>
    <xf numFmtId="165" fontId="0" fillId="0" borderId="54" xfId="0" applyNumberFormat="1" applyBorder="1"/>
    <xf numFmtId="0" fontId="2" fillId="0" borderId="46" xfId="0" applyFont="1" applyBorder="1" applyAlignment="1">
      <alignment vertical="center"/>
    </xf>
    <xf numFmtId="166" fontId="0" fillId="0" borderId="7" xfId="0" applyNumberFormat="1" applyBorder="1"/>
    <xf numFmtId="166" fontId="0" fillId="0" borderId="5" xfId="0" applyNumberFormat="1" applyBorder="1"/>
    <xf numFmtId="0" fontId="2" fillId="0" borderId="27" xfId="0" applyFont="1" applyFill="1" applyBorder="1"/>
    <xf numFmtId="0" fontId="0" fillId="6" borderId="28" xfId="0" applyFill="1" applyBorder="1"/>
    <xf numFmtId="0" fontId="2" fillId="0" borderId="57" xfId="0" quotePrefix="1" applyFont="1" applyBorder="1"/>
    <xf numFmtId="0" fontId="0" fillId="6" borderId="25" xfId="0" applyFill="1" applyBorder="1"/>
    <xf numFmtId="42" fontId="0" fillId="0" borderId="58" xfId="0" applyNumberFormat="1" applyBorder="1"/>
    <xf numFmtId="0" fontId="2" fillId="2" borderId="21" xfId="0" applyFont="1" applyFill="1" applyBorder="1"/>
    <xf numFmtId="0" fontId="0" fillId="8" borderId="0" xfId="0" applyFill="1"/>
    <xf numFmtId="0" fontId="1" fillId="8" borderId="0" xfId="0" applyFont="1" applyFill="1" applyAlignment="1">
      <alignment horizontal="center"/>
    </xf>
    <xf numFmtId="3" fontId="1" fillId="8" borderId="0" xfId="0" applyNumberFormat="1" applyFont="1" applyFill="1" applyBorder="1" applyAlignment="1">
      <alignment horizontal="center"/>
    </xf>
    <xf numFmtId="166" fontId="0" fillId="12" borderId="7" xfId="0" applyNumberFormat="1" applyFill="1" applyBorder="1"/>
    <xf numFmtId="166" fontId="0" fillId="0" borderId="9" xfId="0" applyNumberFormat="1" applyBorder="1"/>
    <xf numFmtId="0" fontId="1" fillId="14" borderId="56" xfId="0" applyFont="1" applyFill="1" applyBorder="1" applyAlignment="1">
      <alignment horizontal="center"/>
    </xf>
    <xf numFmtId="0" fontId="0" fillId="15" borderId="0" xfId="0" applyFill="1"/>
    <xf numFmtId="0" fontId="2" fillId="2" borderId="41" xfId="0" applyFont="1" applyFill="1" applyBorder="1" applyAlignment="1">
      <alignment vertical="center"/>
    </xf>
    <xf numFmtId="0" fontId="29" fillId="0" borderId="12" xfId="0" applyFont="1" applyBorder="1" applyAlignment="1">
      <alignment horizontal="center" vertical="center"/>
    </xf>
    <xf numFmtId="0" fontId="2" fillId="0" borderId="15" xfId="0" applyFont="1" applyBorder="1" applyAlignment="1">
      <alignment vertical="center"/>
    </xf>
    <xf numFmtId="0" fontId="2" fillId="0" borderId="7" xfId="0" quotePrefix="1" applyFont="1" applyBorder="1"/>
    <xf numFmtId="0" fontId="0" fillId="8" borderId="15" xfId="0" applyFill="1" applyBorder="1"/>
    <xf numFmtId="0" fontId="31" fillId="8" borderId="0" xfId="0" applyFont="1" applyFill="1" applyAlignment="1">
      <alignment vertical="center"/>
    </xf>
    <xf numFmtId="0" fontId="0" fillId="8" borderId="1" xfId="0" applyFill="1" applyBorder="1"/>
    <xf numFmtId="42" fontId="0" fillId="0" borderId="6" xfId="0" applyNumberFormat="1" applyBorder="1"/>
    <xf numFmtId="0" fontId="0" fillId="8" borderId="0" xfId="0" applyNumberFormat="1" applyFill="1" applyBorder="1" applyAlignment="1">
      <alignment vertical="center"/>
    </xf>
    <xf numFmtId="0" fontId="0" fillId="8" borderId="0" xfId="0" applyNumberFormat="1" applyFill="1" applyBorder="1"/>
    <xf numFmtId="0" fontId="0" fillId="8" borderId="0" xfId="0" applyFill="1" applyBorder="1"/>
    <xf numFmtId="0" fontId="2" fillId="6" borderId="0" xfId="0" applyFont="1" applyFill="1"/>
    <xf numFmtId="0" fontId="2" fillId="6" borderId="46" xfId="0" applyFont="1" applyFill="1" applyBorder="1"/>
    <xf numFmtId="0" fontId="2" fillId="6" borderId="18" xfId="0" applyFont="1" applyFill="1" applyBorder="1"/>
    <xf numFmtId="0" fontId="2" fillId="6" borderId="0" xfId="0" applyFont="1" applyFill="1" applyBorder="1"/>
    <xf numFmtId="0" fontId="2" fillId="6" borderId="19" xfId="0" applyFont="1" applyFill="1" applyBorder="1"/>
    <xf numFmtId="0" fontId="2" fillId="6" borderId="20" xfId="0" applyFont="1" applyFill="1" applyBorder="1"/>
    <xf numFmtId="0" fontId="0" fillId="0" borderId="10" xfId="0" applyFill="1" applyBorder="1"/>
    <xf numFmtId="166" fontId="0" fillId="0" borderId="10" xfId="0" applyNumberFormat="1" applyFill="1" applyBorder="1" applyAlignment="1">
      <alignment horizontal="right"/>
    </xf>
    <xf numFmtId="166" fontId="0" fillId="0" borderId="10" xfId="0" applyNumberFormat="1" applyFill="1" applyBorder="1"/>
    <xf numFmtId="0" fontId="0" fillId="0" borderId="15" xfId="0" applyBorder="1" applyAlignment="1">
      <alignment horizontal="center" vertical="center"/>
    </xf>
    <xf numFmtId="0" fontId="29" fillId="0" borderId="0" xfId="0" applyFont="1" applyAlignment="1"/>
    <xf numFmtId="0" fontId="33" fillId="0" borderId="0" xfId="0" applyFont="1"/>
    <xf numFmtId="0" fontId="23" fillId="0" borderId="0" xfId="0" applyFont="1"/>
    <xf numFmtId="3" fontId="34" fillId="2" borderId="41" xfId="0" applyNumberFormat="1" applyFont="1" applyFill="1" applyBorder="1" applyAlignment="1">
      <alignment horizontal="center"/>
    </xf>
    <xf numFmtId="0" fontId="35" fillId="0" borderId="0" xfId="0" applyFont="1" applyFill="1" applyBorder="1"/>
    <xf numFmtId="3" fontId="34" fillId="0" borderId="43" xfId="0" applyNumberFormat="1" applyFont="1" applyFill="1" applyBorder="1" applyAlignment="1">
      <alignment horizontal="center"/>
    </xf>
    <xf numFmtId="0" fontId="35" fillId="6" borderId="14" xfId="0" applyFont="1" applyFill="1" applyBorder="1"/>
    <xf numFmtId="0" fontId="35" fillId="0" borderId="0" xfId="0" applyFont="1" applyBorder="1"/>
    <xf numFmtId="0" fontId="34" fillId="0" borderId="12" xfId="0" applyFont="1" applyBorder="1"/>
    <xf numFmtId="0" fontId="35" fillId="6" borderId="47" xfId="0" applyFont="1" applyFill="1" applyBorder="1"/>
    <xf numFmtId="0" fontId="0" fillId="0" borderId="61" xfId="0" applyBorder="1"/>
    <xf numFmtId="0" fontId="0" fillId="0" borderId="0" xfId="0" applyAlignment="1">
      <alignment vertical="top"/>
    </xf>
    <xf numFmtId="0" fontId="0" fillId="0" borderId="0" xfId="0" applyAlignment="1">
      <alignment vertical="top" wrapText="1"/>
    </xf>
    <xf numFmtId="0" fontId="0" fillId="6" borderId="1" xfId="0" applyFill="1" applyBorder="1" applyAlignment="1">
      <alignment horizontal="center"/>
    </xf>
    <xf numFmtId="0" fontId="0" fillId="12" borderId="1" xfId="0" applyFill="1" applyBorder="1" applyAlignment="1">
      <alignment horizontal="center"/>
    </xf>
    <xf numFmtId="165" fontId="0" fillId="0" borderId="0" xfId="0" applyNumberFormat="1" applyFill="1"/>
    <xf numFmtId="166" fontId="17" fillId="0" borderId="10" xfId="0" applyNumberFormat="1" applyFont="1" applyFill="1" applyBorder="1"/>
    <xf numFmtId="0" fontId="23" fillId="2" borderId="12" xfId="0" applyFont="1" applyFill="1" applyBorder="1"/>
    <xf numFmtId="0" fontId="36" fillId="2" borderId="12" xfId="0" applyFont="1" applyFill="1" applyBorder="1"/>
    <xf numFmtId="0" fontId="0" fillId="0" borderId="0" xfId="0" applyAlignment="1">
      <alignment horizontal="left" vertical="top" wrapText="1"/>
    </xf>
    <xf numFmtId="0" fontId="2" fillId="7" borderId="12" xfId="0" applyFont="1" applyFill="1" applyBorder="1" applyAlignment="1">
      <alignment horizontal="left"/>
    </xf>
    <xf numFmtId="0" fontId="2" fillId="7" borderId="13" xfId="0" applyFont="1" applyFill="1" applyBorder="1" applyAlignment="1">
      <alignment horizontal="left"/>
    </xf>
    <xf numFmtId="0" fontId="0" fillId="0" borderId="0" xfId="0" applyAlignment="1">
      <alignment horizontal="center" vertical="top" wrapText="1"/>
    </xf>
    <xf numFmtId="0" fontId="33" fillId="0" borderId="0" xfId="0" applyFont="1" applyAlignment="1">
      <alignment horizontal="left" vertical="top" wrapText="1"/>
    </xf>
    <xf numFmtId="0" fontId="0" fillId="0" borderId="0" xfId="0" applyAlignment="1">
      <alignment horizontal="left" wrapText="1"/>
    </xf>
    <xf numFmtId="0" fontId="32" fillId="8" borderId="28" xfId="0" applyFont="1" applyFill="1" applyBorder="1" applyAlignment="1">
      <alignment horizontal="center" vertical="center"/>
    </xf>
    <xf numFmtId="0" fontId="32" fillId="8" borderId="0" xfId="0" applyFont="1" applyFill="1" applyBorder="1" applyAlignment="1">
      <alignment horizontal="center" vertical="center"/>
    </xf>
    <xf numFmtId="0" fontId="1" fillId="8" borderId="28" xfId="0" applyFont="1" applyFill="1" applyBorder="1" applyAlignment="1">
      <alignment horizontal="center" vertical="center"/>
    </xf>
    <xf numFmtId="0" fontId="1" fillId="8" borderId="0" xfId="0" applyFont="1" applyFill="1" applyBorder="1" applyAlignment="1">
      <alignment horizontal="center" vertical="center"/>
    </xf>
    <xf numFmtId="0" fontId="31" fillId="8" borderId="0" xfId="0" applyFont="1" applyFill="1" applyAlignment="1">
      <alignment horizontal="center" vertical="center"/>
    </xf>
    <xf numFmtId="0" fontId="32" fillId="8" borderId="0" xfId="0" applyFont="1" applyFill="1" applyAlignment="1">
      <alignment horizontal="center" vertical="center"/>
    </xf>
    <xf numFmtId="0" fontId="1" fillId="8" borderId="0" xfId="0" applyFont="1" applyFill="1" applyAlignment="1">
      <alignment horizontal="center" vertical="center"/>
    </xf>
    <xf numFmtId="0" fontId="24" fillId="0" borderId="41" xfId="0" applyFont="1" applyBorder="1" applyAlignment="1">
      <alignment horizontal="center" vertical="center" textRotation="255"/>
    </xf>
    <xf numFmtId="0" fontId="24" fillId="0" borderId="44" xfId="0" applyFont="1" applyBorder="1" applyAlignment="1">
      <alignment horizontal="center" vertical="center" textRotation="255"/>
    </xf>
    <xf numFmtId="0" fontId="24" fillId="0" borderId="39" xfId="0" applyFont="1" applyBorder="1" applyAlignment="1">
      <alignment horizontal="center" vertical="center" textRotation="255"/>
    </xf>
    <xf numFmtId="0" fontId="2" fillId="2" borderId="1" xfId="0" applyFont="1" applyFill="1" applyBorder="1" applyAlignment="1">
      <alignment horizontal="center"/>
    </xf>
    <xf numFmtId="0" fontId="2" fillId="2" borderId="2" xfId="0" applyFont="1" applyFill="1" applyBorder="1" applyAlignment="1">
      <alignment horizontal="center"/>
    </xf>
    <xf numFmtId="0" fontId="0" fillId="7" borderId="15" xfId="0" applyFill="1" applyBorder="1" applyAlignment="1">
      <alignment horizontal="center" vertical="center"/>
    </xf>
    <xf numFmtId="0" fontId="0" fillId="0" borderId="15" xfId="0"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20" xfId="0" applyFont="1" applyBorder="1" applyAlignment="1">
      <alignment horizontal="center" vertical="center"/>
    </xf>
    <xf numFmtId="0" fontId="25" fillId="0" borderId="27"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20" xfId="0" applyFont="1" applyBorder="1" applyAlignment="1">
      <alignment horizontal="center" vertical="center" wrapText="1"/>
    </xf>
    <xf numFmtId="0" fontId="28" fillId="0" borderId="27" xfId="0" applyFont="1" applyBorder="1" applyAlignment="1">
      <alignment horizontal="center" vertical="center"/>
    </xf>
    <xf numFmtId="0" fontId="28" fillId="0" borderId="29" xfId="0" applyFont="1" applyBorder="1" applyAlignment="1">
      <alignment horizontal="center" vertical="center"/>
    </xf>
    <xf numFmtId="0" fontId="28" fillId="0" borderId="46" xfId="0" applyFont="1" applyBorder="1" applyAlignment="1">
      <alignment horizontal="center" vertical="center"/>
    </xf>
    <xf numFmtId="0" fontId="28" fillId="0" borderId="30" xfId="0" applyFont="1" applyBorder="1" applyAlignment="1">
      <alignment horizontal="center"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 fillId="0" borderId="41"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39" xfId="0" applyFont="1" applyBorder="1" applyAlignment="1">
      <alignment horizontal="center" vertical="center" textRotation="255"/>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9" borderId="8" xfId="0" applyFont="1" applyFill="1" applyBorder="1" applyAlignment="1">
      <alignment horizontal="center"/>
    </xf>
    <xf numFmtId="0" fontId="2" fillId="9" borderId="9" xfId="0" applyFont="1" applyFill="1" applyBorder="1" applyAlignment="1">
      <alignment horizontal="center"/>
    </xf>
    <xf numFmtId="0" fontId="2" fillId="9" borderId="1" xfId="0" applyFont="1" applyFill="1" applyBorder="1" applyAlignment="1">
      <alignment horizontal="center"/>
    </xf>
    <xf numFmtId="0" fontId="2" fillId="9" borderId="2" xfId="0" applyFont="1" applyFill="1" applyBorder="1" applyAlignment="1">
      <alignment horizontal="center"/>
    </xf>
    <xf numFmtId="0" fontId="2" fillId="0" borderId="29" xfId="0" applyFont="1" applyBorder="1" applyAlignment="1">
      <alignment horizontal="center" vertical="center" wrapText="1"/>
    </xf>
    <xf numFmtId="0" fontId="2" fillId="0" borderId="20" xfId="0" applyFont="1" applyBorder="1" applyAlignment="1">
      <alignment horizontal="center" vertical="center" wrapText="1"/>
    </xf>
    <xf numFmtId="0" fontId="29" fillId="0" borderId="41" xfId="0" applyFont="1" applyBorder="1" applyAlignment="1">
      <alignment horizontal="center" vertical="center"/>
    </xf>
    <xf numFmtId="0" fontId="29" fillId="0" borderId="39" xfId="0" applyFont="1" applyBorder="1" applyAlignment="1">
      <alignment horizontal="center" vertical="center"/>
    </xf>
    <xf numFmtId="3" fontId="1" fillId="14" borderId="59" xfId="0" applyNumberFormat="1" applyFont="1" applyFill="1" applyBorder="1" applyAlignment="1">
      <alignment horizontal="center" vertical="center"/>
    </xf>
    <xf numFmtId="3" fontId="1" fillId="14" borderId="60" xfId="0" applyNumberFormat="1" applyFont="1" applyFill="1" applyBorder="1" applyAlignment="1">
      <alignment horizontal="center" vertical="center"/>
    </xf>
    <xf numFmtId="3" fontId="1" fillId="14" borderId="57" xfId="0" applyNumberFormat="1" applyFont="1" applyFill="1" applyBorder="1" applyAlignment="1">
      <alignment horizontal="center" vertical="center"/>
    </xf>
    <xf numFmtId="3" fontId="0" fillId="0" borderId="31" xfId="0" applyNumberFormat="1" applyBorder="1" applyAlignment="1">
      <alignment horizontal="center" vertical="center" wrapText="1"/>
    </xf>
    <xf numFmtId="3" fontId="0" fillId="0" borderId="26" xfId="0" applyNumberFormat="1" applyBorder="1" applyAlignment="1">
      <alignment horizontal="center" vertical="center" wrapText="1"/>
    </xf>
    <xf numFmtId="3" fontId="0" fillId="0" borderId="55" xfId="0" applyNumberFormat="1" applyBorder="1" applyAlignment="1">
      <alignment horizontal="center" vertical="center" wrapText="1"/>
    </xf>
    <xf numFmtId="0" fontId="2" fillId="0" borderId="29"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20" xfId="0" applyFont="1" applyBorder="1" applyAlignment="1">
      <alignment horizontal="center" vertical="center" textRotation="255"/>
    </xf>
    <xf numFmtId="3" fontId="0" fillId="0" borderId="25" xfId="0" applyNumberFormat="1" applyBorder="1" applyAlignment="1">
      <alignment horizontal="center" vertical="center" wrapText="1"/>
    </xf>
    <xf numFmtId="0" fontId="0" fillId="0" borderId="2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5" xfId="0" applyFont="1" applyFill="1" applyBorder="1" applyAlignment="1">
      <alignment horizontal="center" vertical="center"/>
    </xf>
    <xf numFmtId="0" fontId="23" fillId="0" borderId="41" xfId="0" applyFont="1" applyBorder="1" applyAlignment="1">
      <alignment horizontal="center" vertical="center" textRotation="255"/>
    </xf>
    <xf numFmtId="0" fontId="23" fillId="0" borderId="44" xfId="0" applyFont="1" applyBorder="1" applyAlignment="1">
      <alignment horizontal="center" vertical="center" textRotation="255"/>
    </xf>
    <xf numFmtId="0" fontId="23" fillId="0" borderId="39" xfId="0" applyFont="1" applyBorder="1" applyAlignment="1">
      <alignment horizontal="center" vertical="center" textRotation="255"/>
    </xf>
    <xf numFmtId="0" fontId="29" fillId="0" borderId="44" xfId="0" applyFont="1" applyBorder="1" applyAlignment="1">
      <alignment horizontal="center" vertical="center"/>
    </xf>
    <xf numFmtId="0" fontId="29" fillId="0" borderId="27" xfId="0" applyFont="1" applyBorder="1" applyAlignment="1">
      <alignment horizontal="center" vertical="center"/>
    </xf>
    <xf numFmtId="0" fontId="29" fillId="0" borderId="18" xfId="0" applyFont="1" applyBorder="1" applyAlignment="1">
      <alignment horizontal="center" vertical="center"/>
    </xf>
    <xf numFmtId="0" fontId="23" fillId="0" borderId="29" xfId="0" applyFont="1" applyBorder="1" applyAlignment="1">
      <alignment horizontal="center" vertical="center"/>
    </xf>
    <xf numFmtId="0" fontId="23" fillId="0" borderId="20" xfId="0" applyFont="1" applyBorder="1" applyAlignment="1">
      <alignment horizontal="center" vertical="center"/>
    </xf>
    <xf numFmtId="0" fontId="26" fillId="0" borderId="27"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3" fontId="1" fillId="14" borderId="15" xfId="0" applyNumberFormat="1" applyFont="1" applyFill="1" applyBorder="1" applyAlignment="1">
      <alignment horizontal="center" vertical="center"/>
    </xf>
    <xf numFmtId="0" fontId="2" fillId="0" borderId="29" xfId="0" applyFont="1" applyBorder="1" applyAlignment="1">
      <alignment horizontal="center" vertical="center"/>
    </xf>
    <xf numFmtId="0" fontId="2" fillId="0" borderId="20" xfId="0" applyFont="1" applyBorder="1" applyAlignment="1">
      <alignment horizontal="center" vertical="center"/>
    </xf>
    <xf numFmtId="0" fontId="25" fillId="0" borderId="27" xfId="0" applyFont="1" applyBorder="1" applyAlignment="1">
      <alignment horizontal="center" vertical="center"/>
    </xf>
    <xf numFmtId="0" fontId="25" fillId="0" borderId="29" xfId="0" applyFont="1" applyBorder="1" applyAlignment="1">
      <alignment horizontal="center" vertical="center"/>
    </xf>
    <xf numFmtId="0" fontId="25" fillId="0" borderId="46" xfId="0" applyFont="1" applyBorder="1" applyAlignment="1">
      <alignment horizontal="center" vertical="center"/>
    </xf>
    <xf numFmtId="0" fontId="25" fillId="0" borderId="30"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3" fillId="0" borderId="29" xfId="0" applyFont="1" applyBorder="1" applyAlignment="1">
      <alignment horizontal="center" vertical="center" wrapText="1"/>
    </xf>
    <xf numFmtId="0" fontId="23" fillId="0" borderId="20" xfId="0" applyFont="1" applyBorder="1" applyAlignment="1">
      <alignment horizontal="center" vertical="center" wrapText="1"/>
    </xf>
    <xf numFmtId="0" fontId="2" fillId="2" borderId="3" xfId="0" applyFont="1" applyFill="1" applyBorder="1" applyAlignment="1">
      <alignment horizontal="center"/>
    </xf>
    <xf numFmtId="0" fontId="6" fillId="0" borderId="1" xfId="2" applyFont="1" applyFill="1" applyBorder="1" applyAlignment="1">
      <alignment horizontal="center" vertical="top" wrapText="1"/>
    </xf>
    <xf numFmtId="0" fontId="6" fillId="0" borderId="3" xfId="2" applyFont="1" applyFill="1" applyBorder="1" applyAlignment="1">
      <alignment horizontal="center" vertical="top"/>
    </xf>
    <xf numFmtId="0" fontId="6" fillId="0" borderId="2" xfId="2" applyFont="1" applyFill="1" applyBorder="1" applyAlignment="1">
      <alignment horizontal="center" vertical="top"/>
    </xf>
    <xf numFmtId="0" fontId="4" fillId="0" borderId="1"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center" vertical="top" wrapText="1"/>
    </xf>
    <xf numFmtId="0" fontId="6" fillId="0" borderId="1" xfId="2" applyFont="1" applyFill="1" applyBorder="1" applyAlignment="1">
      <alignment horizontal="center" vertical="top"/>
    </xf>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applyAlignment="1">
      <alignment horizontal="center"/>
    </xf>
  </cellXfs>
  <cellStyles count="7">
    <cellStyle name="Collegamento ipertestuale" xfId="5" builtinId="8" hidden="1"/>
    <cellStyle name="Collegamento ipertestuale visitato" xfId="6" builtinId="9" hidden="1"/>
    <cellStyle name="Migliaia" xfId="1" builtinId="3"/>
    <cellStyle name="Normale" xfId="0" builtinId="0"/>
    <cellStyle name="Normale 3 2" xfId="2"/>
    <cellStyle name="Normale 4" xfId="3"/>
    <cellStyle name="Percentuale" xfId="4" builtinId="5"/>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_rels/chart2.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s>
</file>

<file path=xl/charts/_rels/chart3.xml.rels><?xml version="1.0" encoding="UTF-8" standalone="yes"?>
<Relationships xmlns="http://schemas.openxmlformats.org/package/2006/relationships"><Relationship Id="rId1" Type="http://schemas.microsoft.com/office/2011/relationships/chartStyle" Target="style3.xml"/><Relationship Id="rId2" Type="http://schemas.microsoft.com/office/2011/relationships/chartColorStyle" Target="colors3.xml"/></Relationships>
</file>

<file path=xl/charts/_rels/chart4.xml.rels><?xml version="1.0" encoding="UTF-8" standalone="yes"?>
<Relationships xmlns="http://schemas.openxmlformats.org/package/2006/relationships"><Relationship Id="rId1" Type="http://schemas.microsoft.com/office/2011/relationships/chartStyle" Target="style4.xml"/><Relationship Id="rId2" Type="http://schemas.microsoft.com/office/2011/relationships/chartColorStyle" Target="colors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Autofinanziamento!$D$124:$X$124</c:f>
              <c:numCache>
                <c:formatCode>General</c:formatCode>
                <c:ptCount val="21"/>
                <c:pt idx="0">
                  <c:v>0.0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numCache>
            </c:numRef>
          </c:xVal>
          <c:yVal>
            <c:numRef>
              <c:f>Autofinanziamento!$D$139:$X$139</c:f>
              <c:numCache>
                <c:formatCode>_("€"* #,##0_);_("€"* \(#,##0\);_("€"* "-"_);_(@_)</c:formatCode>
                <c:ptCount val="21"/>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numCache>
            </c:numRef>
          </c:yVal>
          <c:smooth val="0"/>
          <c:extLst xmlns:c16r2="http://schemas.microsoft.com/office/drawing/2015/06/chart">
            <c:ext xmlns:c16="http://schemas.microsoft.com/office/drawing/2014/chart" uri="{C3380CC4-5D6E-409C-BE32-E72D297353CC}">
              <c16:uniqueId val="{00000000-4081-4944-83C2-3755F1123294}"/>
            </c:ext>
          </c:extLst>
        </c:ser>
        <c:dLbls>
          <c:showLegendKey val="0"/>
          <c:showVal val="0"/>
          <c:showCatName val="0"/>
          <c:showSerName val="0"/>
          <c:showPercent val="0"/>
          <c:showBubbleSize val="0"/>
        </c:dLbls>
        <c:axId val="17566192"/>
        <c:axId val="17567136"/>
      </c:scatterChart>
      <c:valAx>
        <c:axId val="175661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7567136"/>
        <c:crosses val="autoZero"/>
        <c:crossBetween val="midCat"/>
      </c:valAx>
      <c:valAx>
        <c:axId val="175671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75661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NPV</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'Project Financing'!$D$145:$X$145</c:f>
              <c:numCache>
                <c:formatCode>General</c:formatCode>
                <c:ptCount val="21"/>
                <c:pt idx="0">
                  <c:v>0.0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numCache>
            </c:numRef>
          </c:xVal>
          <c:yVal>
            <c:numRef>
              <c:f>'Project Financing'!$D$163:$S$163</c:f>
              <c:numCache>
                <c:formatCode>_("€"* #,##0_);_("€"* \(#,##0\);_("€"* "-"_);_(@_)</c:formatCode>
                <c:ptCount val="16"/>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numCache>
            </c:numRef>
          </c:yVal>
          <c:smooth val="0"/>
          <c:extLst xmlns:c16r2="http://schemas.microsoft.com/office/drawing/2015/06/chart">
            <c:ext xmlns:c16="http://schemas.microsoft.com/office/drawing/2014/chart" uri="{C3380CC4-5D6E-409C-BE32-E72D297353CC}">
              <c16:uniqueId val="{00000000-9DA9-46E5-8E36-C37E901F49F7}"/>
            </c:ext>
          </c:extLst>
        </c:ser>
        <c:dLbls>
          <c:showLegendKey val="0"/>
          <c:showVal val="0"/>
          <c:showCatName val="0"/>
          <c:showSerName val="0"/>
          <c:showPercent val="0"/>
          <c:showBubbleSize val="0"/>
        </c:dLbls>
        <c:axId val="17610336"/>
        <c:axId val="17612816"/>
      </c:scatterChart>
      <c:valAx>
        <c:axId val="176103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7612816"/>
        <c:crosses val="autoZero"/>
        <c:crossBetween val="midCat"/>
      </c:valAx>
      <c:valAx>
        <c:axId val="176128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76103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NPV</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CONSIP!$D$145:$X$145</c:f>
              <c:numCache>
                <c:formatCode>General</c:formatCode>
                <c:ptCount val="21"/>
                <c:pt idx="0">
                  <c:v>0.0</c:v>
                </c:pt>
                <c:pt idx="1">
                  <c:v>1.0</c:v>
                </c:pt>
                <c:pt idx="2">
                  <c:v>2.0</c:v>
                </c:pt>
                <c:pt idx="3">
                  <c:v>3.0</c:v>
                </c:pt>
                <c:pt idx="4">
                  <c:v>4.0</c:v>
                </c:pt>
                <c:pt idx="5">
                  <c:v>5.0</c:v>
                </c:pt>
                <c:pt idx="6">
                  <c:v>6.0</c:v>
                </c:pt>
                <c:pt idx="7">
                  <c:v>7.0</c:v>
                </c:pt>
                <c:pt idx="8">
                  <c:v>8.0</c:v>
                </c:pt>
                <c:pt idx="9">
                  <c:v>9.0</c:v>
                </c:pt>
              </c:numCache>
            </c:numRef>
          </c:xVal>
          <c:yVal>
            <c:numRef>
              <c:f>CONSIP!$D$162:$S$162</c:f>
              <c:numCache>
                <c:formatCode>_("€"* #,##0_);_("€"* \(#,##0\);_("€"* "-"_);_(@_)</c:formatCode>
                <c:ptCount val="16"/>
                <c:pt idx="0">
                  <c:v>0.0</c:v>
                </c:pt>
                <c:pt idx="1">
                  <c:v>0.0</c:v>
                </c:pt>
                <c:pt idx="2">
                  <c:v>0.0</c:v>
                </c:pt>
                <c:pt idx="3">
                  <c:v>0.0</c:v>
                </c:pt>
                <c:pt idx="4">
                  <c:v>0.0</c:v>
                </c:pt>
                <c:pt idx="5">
                  <c:v>0.0</c:v>
                </c:pt>
                <c:pt idx="6">
                  <c:v>0.0</c:v>
                </c:pt>
                <c:pt idx="7">
                  <c:v>0.0</c:v>
                </c:pt>
                <c:pt idx="8">
                  <c:v>0.0</c:v>
                </c:pt>
                <c:pt idx="9">
                  <c:v>0.0</c:v>
                </c:pt>
              </c:numCache>
            </c:numRef>
          </c:yVal>
          <c:smooth val="0"/>
          <c:extLst xmlns:c16r2="http://schemas.microsoft.com/office/drawing/2015/06/chart">
            <c:ext xmlns:c16="http://schemas.microsoft.com/office/drawing/2014/chart" uri="{C3380CC4-5D6E-409C-BE32-E72D297353CC}">
              <c16:uniqueId val="{00000000-2686-432B-B10E-4CB2D23811BD}"/>
            </c:ext>
          </c:extLst>
        </c:ser>
        <c:dLbls>
          <c:showLegendKey val="0"/>
          <c:showVal val="0"/>
          <c:showCatName val="0"/>
          <c:showSerName val="0"/>
          <c:showPercent val="0"/>
          <c:showBubbleSize val="0"/>
        </c:dLbls>
        <c:axId val="23229008"/>
        <c:axId val="23231488"/>
      </c:scatterChart>
      <c:valAx>
        <c:axId val="232290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3231488"/>
        <c:crosses val="autoZero"/>
        <c:crossBetween val="midCat"/>
      </c:valAx>
      <c:valAx>
        <c:axId val="23231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232290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NPV</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PPP!$D$145:$X$145</c:f>
              <c:numCache>
                <c:formatCode>General</c:formatCode>
                <c:ptCount val="21"/>
                <c:pt idx="0">
                  <c:v>0.0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numCache>
            </c:numRef>
          </c:xVal>
          <c:yVal>
            <c:numRef>
              <c:f>PPP!$D$163:$S$163</c:f>
              <c:numCache>
                <c:formatCode>_("€"* #,##0_);_("€"* \(#,##0\);_("€"* "-"_);_(@_)</c:formatCode>
                <c:ptCount val="16"/>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numCache>
            </c:numRef>
          </c:yVal>
          <c:smooth val="0"/>
          <c:extLst xmlns:c16r2="http://schemas.microsoft.com/office/drawing/2015/06/chart">
            <c:ext xmlns:c16="http://schemas.microsoft.com/office/drawing/2014/chart" uri="{C3380CC4-5D6E-409C-BE32-E72D297353CC}">
              <c16:uniqueId val="{00000000-2841-467F-9681-CAF3AC117E07}"/>
            </c:ext>
          </c:extLst>
        </c:ser>
        <c:dLbls>
          <c:showLegendKey val="0"/>
          <c:showVal val="0"/>
          <c:showCatName val="0"/>
          <c:showSerName val="0"/>
          <c:showPercent val="0"/>
          <c:showBubbleSize val="0"/>
        </c:dLbls>
        <c:axId val="17654720"/>
        <c:axId val="17657200"/>
      </c:scatterChart>
      <c:valAx>
        <c:axId val="176547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7657200"/>
        <c:crosses val="autoZero"/>
        <c:crossBetween val="midCat"/>
      </c:valAx>
      <c:valAx>
        <c:axId val="176572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76547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4" Type="http://schemas.openxmlformats.org/officeDocument/2006/relationships/image" Target="../media/image4.emf"/><Relationship Id="rId5" Type="http://schemas.openxmlformats.org/officeDocument/2006/relationships/image" Target="../media/image5.emf"/><Relationship Id="rId6" Type="http://schemas.openxmlformats.org/officeDocument/2006/relationships/image" Target="../media/image6.emf"/><Relationship Id="rId7" Type="http://schemas.openxmlformats.org/officeDocument/2006/relationships/image" Target="../media/image7.emf"/><Relationship Id="rId8" Type="http://schemas.openxmlformats.org/officeDocument/2006/relationships/image" Target="../media/image8.png"/><Relationship Id="rId1" Type="http://schemas.openxmlformats.org/officeDocument/2006/relationships/image" Target="../media/image1.emf"/><Relationship Id="rId2"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4" Type="http://schemas.openxmlformats.org/officeDocument/2006/relationships/image" Target="../media/image12.png"/><Relationship Id="rId5" Type="http://schemas.openxmlformats.org/officeDocument/2006/relationships/image" Target="../media/image13.png"/><Relationship Id="rId6" Type="http://schemas.openxmlformats.org/officeDocument/2006/relationships/image" Target="../media/image14.png"/><Relationship Id="rId7" Type="http://schemas.openxmlformats.org/officeDocument/2006/relationships/image" Target="../media/image15.png"/><Relationship Id="rId8" Type="http://schemas.openxmlformats.org/officeDocument/2006/relationships/image" Target="../media/image16.png"/><Relationship Id="rId1" Type="http://schemas.openxmlformats.org/officeDocument/2006/relationships/image" Target="../media/image9.png"/><Relationship Id="rId2"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27159</xdr:colOff>
      <xdr:row>12</xdr:row>
      <xdr:rowOff>187179</xdr:rowOff>
    </xdr:from>
    <xdr:to>
      <xdr:col>26</xdr:col>
      <xdr:colOff>377679</xdr:colOff>
      <xdr:row>31</xdr:row>
      <xdr:rowOff>57640</xdr:rowOff>
    </xdr:to>
    <xdr:pic>
      <xdr:nvPicPr>
        <xdr:cNvPr id="3" name="Immagin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59" y="2883487"/>
          <a:ext cx="31143135" cy="3582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83820</xdr:rowOff>
    </xdr:from>
    <xdr:to>
      <xdr:col>26</xdr:col>
      <xdr:colOff>312420</xdr:colOff>
      <xdr:row>45</xdr:row>
      <xdr:rowOff>129540</xdr:rowOff>
    </xdr:to>
    <xdr:pic>
      <xdr:nvPicPr>
        <xdr:cNvPr id="4" name="Immagin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162800"/>
          <a:ext cx="28087320" cy="187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xdr:colOff>
      <xdr:row>57</xdr:row>
      <xdr:rowOff>137160</xdr:rowOff>
    </xdr:from>
    <xdr:to>
      <xdr:col>33</xdr:col>
      <xdr:colOff>495300</xdr:colOff>
      <xdr:row>86</xdr:row>
      <xdr:rowOff>129540</xdr:rowOff>
    </xdr:to>
    <xdr:pic>
      <xdr:nvPicPr>
        <xdr:cNvPr id="5" name="Immagin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 y="11864340"/>
          <a:ext cx="32514540" cy="529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92</xdr:row>
      <xdr:rowOff>175260</xdr:rowOff>
    </xdr:from>
    <xdr:to>
      <xdr:col>2</xdr:col>
      <xdr:colOff>396240</xdr:colOff>
      <xdr:row>111</xdr:row>
      <xdr:rowOff>175260</xdr:rowOff>
    </xdr:to>
    <xdr:pic>
      <xdr:nvPicPr>
        <xdr:cNvPr id="6" name="Immagin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8318480"/>
          <a:ext cx="6637020" cy="347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7620</xdr:rowOff>
    </xdr:from>
    <xdr:to>
      <xdr:col>2</xdr:col>
      <xdr:colOff>861060</xdr:colOff>
      <xdr:row>128</xdr:row>
      <xdr:rowOff>15240</xdr:rowOff>
    </xdr:to>
    <xdr:pic>
      <xdr:nvPicPr>
        <xdr:cNvPr id="7" name="Immagine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3103840"/>
          <a:ext cx="7101840" cy="165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133</xdr:row>
      <xdr:rowOff>98865</xdr:rowOff>
    </xdr:from>
    <xdr:to>
      <xdr:col>2</xdr:col>
      <xdr:colOff>129540</xdr:colOff>
      <xdr:row>140</xdr:row>
      <xdr:rowOff>17780</xdr:rowOff>
    </xdr:to>
    <xdr:pic>
      <xdr:nvPicPr>
        <xdr:cNvPr id="8" name="Immagine 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7638327"/>
          <a:ext cx="7065694" cy="1286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xdr:colOff>
      <xdr:row>142</xdr:row>
      <xdr:rowOff>91440</xdr:rowOff>
    </xdr:from>
    <xdr:to>
      <xdr:col>2</xdr:col>
      <xdr:colOff>853440</xdr:colOff>
      <xdr:row>148</xdr:row>
      <xdr:rowOff>99059</xdr:rowOff>
    </xdr:to>
    <xdr:pic>
      <xdr:nvPicPr>
        <xdr:cNvPr id="9" name="Immagine 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2860" y="27614880"/>
          <a:ext cx="707136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91440</xdr:colOff>
      <xdr:row>168</xdr:row>
      <xdr:rowOff>15240</xdr:rowOff>
    </xdr:from>
    <xdr:to>
      <xdr:col>0</xdr:col>
      <xdr:colOff>3015249</xdr:colOff>
      <xdr:row>177</xdr:row>
      <xdr:rowOff>89304</xdr:rowOff>
    </xdr:to>
    <xdr:pic>
      <xdr:nvPicPr>
        <xdr:cNvPr id="12" name="Immagine 11"/>
        <xdr:cNvPicPr>
          <a:picLocks noChangeAspect="1"/>
        </xdr:cNvPicPr>
      </xdr:nvPicPr>
      <xdr:blipFill>
        <a:blip xmlns:r="http://schemas.openxmlformats.org/officeDocument/2006/relationships" r:embed="rId8"/>
        <a:stretch>
          <a:fillRect/>
        </a:stretch>
      </xdr:blipFill>
      <xdr:spPr>
        <a:xfrm>
          <a:off x="91440" y="32689800"/>
          <a:ext cx="2923809" cy="18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5765394</xdr:colOff>
      <xdr:row>143</xdr:row>
      <xdr:rowOff>152399</xdr:rowOff>
    </xdr:from>
    <xdr:to>
      <xdr:col>8</xdr:col>
      <xdr:colOff>912785</xdr:colOff>
      <xdr:row>161</xdr:row>
      <xdr:rowOff>148812</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164</xdr:row>
      <xdr:rowOff>0</xdr:rowOff>
    </xdr:from>
    <xdr:to>
      <xdr:col>7</xdr:col>
      <xdr:colOff>1612900</xdr:colOff>
      <xdr:row>176</xdr:row>
      <xdr:rowOff>177800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164</xdr:row>
      <xdr:rowOff>0</xdr:rowOff>
    </xdr:from>
    <xdr:to>
      <xdr:col>8</xdr:col>
      <xdr:colOff>1257300</xdr:colOff>
      <xdr:row>178</xdr:row>
      <xdr:rowOff>114300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164</xdr:row>
      <xdr:rowOff>0</xdr:rowOff>
    </xdr:from>
    <xdr:to>
      <xdr:col>8</xdr:col>
      <xdr:colOff>317500</xdr:colOff>
      <xdr:row>179</xdr:row>
      <xdr:rowOff>50800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11</xdr:col>
      <xdr:colOff>448829</xdr:colOff>
      <xdr:row>70</xdr:row>
      <xdr:rowOff>315324</xdr:rowOff>
    </xdr:from>
    <xdr:ext cx="4394407" cy="3106564"/>
    <xdr:pic>
      <xdr:nvPicPr>
        <xdr:cNvPr id="2" name="Picture 7"/>
        <xdr:cNvPicPr>
          <a:picLocks noChangeAspect="1" noChangeArrowheads="1"/>
        </xdr:cNvPicPr>
      </xdr:nvPicPr>
      <xdr:blipFill>
        <a:blip xmlns:r="http://schemas.openxmlformats.org/officeDocument/2006/relationships" r:embed="rId1" cstate="print"/>
        <a:srcRect l="44743" t="11728" r="10884" b="15678"/>
        <a:stretch>
          <a:fillRect/>
        </a:stretch>
      </xdr:blipFill>
      <xdr:spPr bwMode="auto">
        <a:xfrm>
          <a:off x="17735343" y="28639953"/>
          <a:ext cx="4394407" cy="3106564"/>
        </a:xfrm>
        <a:prstGeom prst="rect">
          <a:avLst/>
        </a:prstGeom>
        <a:noFill/>
        <a:ln w="1">
          <a:noFill/>
          <a:miter lim="800000"/>
          <a:headEnd/>
          <a:tailEnd/>
        </a:ln>
      </xdr:spPr>
    </xdr:pic>
    <xdr:clientData/>
  </xdr:oneCellAnchor>
  <xdr:oneCellAnchor>
    <xdr:from>
      <xdr:col>11</xdr:col>
      <xdr:colOff>436046</xdr:colOff>
      <xdr:row>30</xdr:row>
      <xdr:rowOff>31269</xdr:rowOff>
    </xdr:from>
    <xdr:ext cx="3445045" cy="2318970"/>
    <xdr:pic>
      <xdr:nvPicPr>
        <xdr:cNvPr id="3" name="Picture 1"/>
        <xdr:cNvPicPr>
          <a:picLocks noChangeAspect="1" noChangeArrowheads="1"/>
        </xdr:cNvPicPr>
      </xdr:nvPicPr>
      <xdr:blipFill>
        <a:blip xmlns:r="http://schemas.openxmlformats.org/officeDocument/2006/relationships" r:embed="rId2" cstate="print"/>
        <a:srcRect l="17888" t="12449" r="20000" b="2665"/>
        <a:stretch>
          <a:fillRect/>
        </a:stretch>
      </xdr:blipFill>
      <xdr:spPr bwMode="auto">
        <a:xfrm>
          <a:off x="17722560" y="12397440"/>
          <a:ext cx="3445045" cy="2318970"/>
        </a:xfrm>
        <a:prstGeom prst="rect">
          <a:avLst/>
        </a:prstGeom>
        <a:noFill/>
        <a:ln w="1">
          <a:noFill/>
          <a:miter lim="800000"/>
          <a:headEnd/>
          <a:tailEnd type="none" w="med" len="med"/>
        </a:ln>
        <a:effectLst/>
      </xdr:spPr>
    </xdr:pic>
    <xdr:clientData/>
  </xdr:oneCellAnchor>
  <xdr:oneCellAnchor>
    <xdr:from>
      <xdr:col>11</xdr:col>
      <xdr:colOff>987136</xdr:colOff>
      <xdr:row>44</xdr:row>
      <xdr:rowOff>11958</xdr:rowOff>
    </xdr:from>
    <xdr:ext cx="8410059" cy="2558726"/>
    <xdr:pic>
      <xdr:nvPicPr>
        <xdr:cNvPr id="4" name="Immagine 3"/>
        <xdr:cNvPicPr/>
      </xdr:nvPicPr>
      <xdr:blipFill>
        <a:blip xmlns:r="http://schemas.openxmlformats.org/officeDocument/2006/relationships" r:embed="rId3" cstate="print"/>
        <a:srcRect t="23641" b="19622"/>
        <a:stretch>
          <a:fillRect/>
        </a:stretch>
      </xdr:blipFill>
      <xdr:spPr bwMode="auto">
        <a:xfrm>
          <a:off x="7311736" y="8058678"/>
          <a:ext cx="8410059" cy="2558726"/>
        </a:xfrm>
        <a:prstGeom prst="rect">
          <a:avLst/>
        </a:prstGeom>
        <a:noFill/>
        <a:ln w="9525">
          <a:noFill/>
          <a:miter lim="800000"/>
          <a:headEnd/>
          <a:tailEnd/>
        </a:ln>
      </xdr:spPr>
    </xdr:pic>
    <xdr:clientData/>
  </xdr:oneCellAnchor>
  <xdr:oneCellAnchor>
    <xdr:from>
      <xdr:col>11</xdr:col>
      <xdr:colOff>319940</xdr:colOff>
      <xdr:row>84</xdr:row>
      <xdr:rowOff>311452</xdr:rowOff>
    </xdr:from>
    <xdr:ext cx="8462648" cy="1969528"/>
    <xdr:pic>
      <xdr:nvPicPr>
        <xdr:cNvPr id="5" name="Immagine 4"/>
        <xdr:cNvPicPr/>
      </xdr:nvPicPr>
      <xdr:blipFill>
        <a:blip xmlns:r="http://schemas.openxmlformats.org/officeDocument/2006/relationships" r:embed="rId4" cstate="print"/>
        <a:srcRect t="19622" b="16076"/>
        <a:stretch>
          <a:fillRect/>
        </a:stretch>
      </xdr:blipFill>
      <xdr:spPr bwMode="auto">
        <a:xfrm>
          <a:off x="7025540" y="15543832"/>
          <a:ext cx="8462648" cy="1969528"/>
        </a:xfrm>
        <a:prstGeom prst="rect">
          <a:avLst/>
        </a:prstGeom>
        <a:noFill/>
        <a:ln w="9525">
          <a:noFill/>
          <a:miter lim="800000"/>
          <a:headEnd/>
          <a:tailEnd/>
        </a:ln>
      </xdr:spPr>
    </xdr:pic>
    <xdr:clientData/>
  </xdr:oneCellAnchor>
  <xdr:oneCellAnchor>
    <xdr:from>
      <xdr:col>12</xdr:col>
      <xdr:colOff>103910</xdr:colOff>
      <xdr:row>96</xdr:row>
      <xdr:rowOff>129061</xdr:rowOff>
    </xdr:from>
    <xdr:ext cx="6483804" cy="3061348"/>
    <xdr:pic>
      <xdr:nvPicPr>
        <xdr:cNvPr id="6" name="Immagine 5"/>
        <xdr:cNvPicPr/>
      </xdr:nvPicPr>
      <xdr:blipFill>
        <a:blip xmlns:r="http://schemas.openxmlformats.org/officeDocument/2006/relationships" r:embed="rId5" cstate="print"/>
        <a:srcRect l="22817" t="14657" r="22999" b="10116"/>
        <a:stretch>
          <a:fillRect/>
        </a:stretch>
      </xdr:blipFill>
      <xdr:spPr bwMode="auto">
        <a:xfrm>
          <a:off x="7419110" y="17685541"/>
          <a:ext cx="6483804" cy="3061348"/>
        </a:xfrm>
        <a:prstGeom prst="rect">
          <a:avLst/>
        </a:prstGeom>
        <a:noFill/>
        <a:ln w="9525">
          <a:noFill/>
          <a:miter lim="800000"/>
          <a:headEnd/>
          <a:tailEnd/>
        </a:ln>
      </xdr:spPr>
    </xdr:pic>
    <xdr:clientData/>
  </xdr:oneCellAnchor>
  <xdr:oneCellAnchor>
    <xdr:from>
      <xdr:col>11</xdr:col>
      <xdr:colOff>219846</xdr:colOff>
      <xdr:row>111</xdr:row>
      <xdr:rowOff>233315</xdr:rowOff>
    </xdr:from>
    <xdr:ext cx="7967031" cy="2196092"/>
    <xdr:pic>
      <xdr:nvPicPr>
        <xdr:cNvPr id="7" name="Immagine 6"/>
        <xdr:cNvPicPr/>
      </xdr:nvPicPr>
      <xdr:blipFill>
        <a:blip xmlns:r="http://schemas.openxmlformats.org/officeDocument/2006/relationships" r:embed="rId6" cstate="print"/>
        <a:srcRect l="19699" t="20095" r="20045" b="14421"/>
        <a:stretch>
          <a:fillRect/>
        </a:stretch>
      </xdr:blipFill>
      <xdr:spPr bwMode="auto">
        <a:xfrm>
          <a:off x="6925446" y="20479655"/>
          <a:ext cx="7967031" cy="2196092"/>
        </a:xfrm>
        <a:prstGeom prst="rect">
          <a:avLst/>
        </a:prstGeom>
        <a:noFill/>
        <a:ln w="9525">
          <a:noFill/>
          <a:miter lim="800000"/>
          <a:headEnd/>
          <a:tailEnd/>
        </a:ln>
      </xdr:spPr>
    </xdr:pic>
    <xdr:clientData/>
  </xdr:oneCellAnchor>
  <xdr:oneCellAnchor>
    <xdr:from>
      <xdr:col>11</xdr:col>
      <xdr:colOff>550351</xdr:colOff>
      <xdr:row>127</xdr:row>
      <xdr:rowOff>26940</xdr:rowOff>
    </xdr:from>
    <xdr:ext cx="3674998" cy="3490866"/>
    <xdr:pic>
      <xdr:nvPicPr>
        <xdr:cNvPr id="8" name="Picture 2"/>
        <xdr:cNvPicPr>
          <a:picLocks noChangeAspect="1" noChangeArrowheads="1"/>
        </xdr:cNvPicPr>
      </xdr:nvPicPr>
      <xdr:blipFill>
        <a:blip xmlns:r="http://schemas.openxmlformats.org/officeDocument/2006/relationships" r:embed="rId7" cstate="print"/>
        <a:srcRect l="31378" t="10974" r="25167" b="3708"/>
        <a:stretch>
          <a:fillRect/>
        </a:stretch>
      </xdr:blipFill>
      <xdr:spPr bwMode="auto">
        <a:xfrm>
          <a:off x="7255951" y="23252700"/>
          <a:ext cx="3674998" cy="3490866"/>
        </a:xfrm>
        <a:prstGeom prst="rect">
          <a:avLst/>
        </a:prstGeom>
        <a:noFill/>
        <a:ln w="1">
          <a:noFill/>
          <a:miter lim="800000"/>
          <a:headEnd/>
          <a:tailEnd type="none" w="med" len="med"/>
        </a:ln>
        <a:effectLst/>
      </xdr:spPr>
    </xdr:pic>
    <xdr:clientData/>
  </xdr:oneCellAnchor>
  <xdr:oneCellAnchor>
    <xdr:from>
      <xdr:col>10</xdr:col>
      <xdr:colOff>765848</xdr:colOff>
      <xdr:row>16</xdr:row>
      <xdr:rowOff>94536</xdr:rowOff>
    </xdr:from>
    <xdr:ext cx="8473924" cy="2471915"/>
    <xdr:pic>
      <xdr:nvPicPr>
        <xdr:cNvPr id="9" name="Picture 1"/>
        <xdr:cNvPicPr>
          <a:picLocks noChangeAspect="1" noChangeArrowheads="1"/>
        </xdr:cNvPicPr>
      </xdr:nvPicPr>
      <xdr:blipFill>
        <a:blip xmlns:r="http://schemas.openxmlformats.org/officeDocument/2006/relationships" r:embed="rId8" cstate="print"/>
        <a:srcRect l="21904" t="36931" r="21635" b="33559"/>
        <a:stretch>
          <a:fillRect/>
        </a:stretch>
      </xdr:blipFill>
      <xdr:spPr bwMode="auto">
        <a:xfrm>
          <a:off x="6701828" y="3020616"/>
          <a:ext cx="8473924" cy="2471915"/>
        </a:xfrm>
        <a:prstGeom prst="rect">
          <a:avLst/>
        </a:prstGeom>
        <a:noFill/>
        <a:ln w="1">
          <a:noFill/>
          <a:miter lim="800000"/>
          <a:headEnd/>
          <a:tailEnd/>
        </a:ln>
      </xdr:spPr>
    </xdr:pic>
    <xdr:clientData/>
  </xdr:oneCellAnchor>
  <xdr:oneCellAnchor>
    <xdr:from>
      <xdr:col>10</xdr:col>
      <xdr:colOff>787014</xdr:colOff>
      <xdr:row>3</xdr:row>
      <xdr:rowOff>158037</xdr:rowOff>
    </xdr:from>
    <xdr:ext cx="8480578" cy="2449539"/>
    <xdr:pic>
      <xdr:nvPicPr>
        <xdr:cNvPr id="10" name="Picture 1"/>
        <xdr:cNvPicPr>
          <a:picLocks noChangeAspect="1" noChangeArrowheads="1"/>
        </xdr:cNvPicPr>
      </xdr:nvPicPr>
      <xdr:blipFill>
        <a:blip xmlns:r="http://schemas.openxmlformats.org/officeDocument/2006/relationships" r:embed="rId8" cstate="print"/>
        <a:srcRect l="21904" t="36931" r="21635" b="33559"/>
        <a:stretch>
          <a:fillRect/>
        </a:stretch>
      </xdr:blipFill>
      <xdr:spPr bwMode="auto">
        <a:xfrm>
          <a:off x="6707754" y="706677"/>
          <a:ext cx="8480578" cy="2449539"/>
        </a:xfrm>
        <a:prstGeom prst="rect">
          <a:avLst/>
        </a:prstGeom>
        <a:noFill/>
        <a:ln w="1">
          <a:noFill/>
          <a:miter lim="800000"/>
          <a:headEnd/>
          <a:tailEnd/>
        </a:ln>
      </xdr:spPr>
    </xdr:pic>
    <xdr:clientData/>
  </xdr:oneCellAnchor>
  <xdr:oneCellAnchor>
    <xdr:from>
      <xdr:col>11</xdr:col>
      <xdr:colOff>111125</xdr:colOff>
      <xdr:row>57</xdr:row>
      <xdr:rowOff>185208</xdr:rowOff>
    </xdr:from>
    <xdr:ext cx="8424575" cy="2352937"/>
    <xdr:pic>
      <xdr:nvPicPr>
        <xdr:cNvPr id="11" name="Immagine 10"/>
        <xdr:cNvPicPr/>
      </xdr:nvPicPr>
      <xdr:blipFill>
        <a:blip xmlns:r="http://schemas.openxmlformats.org/officeDocument/2006/relationships" r:embed="rId3" cstate="print"/>
        <a:srcRect t="23641" b="19622"/>
        <a:stretch>
          <a:fillRect/>
        </a:stretch>
      </xdr:blipFill>
      <xdr:spPr bwMode="auto">
        <a:xfrm>
          <a:off x="6816725" y="10609368"/>
          <a:ext cx="8424575" cy="2352937"/>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llegamentoEsternoRipristinat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ivita"/>
      <sheetName val="Calcoli"/>
    </sheetNames>
    <sheetDataSet>
      <sheetData sheetId="0">
        <row r="6">
          <cell r="C6">
            <v>38964</v>
          </cell>
        </row>
        <row r="7">
          <cell r="C7">
            <v>39202</v>
          </cell>
          <cell r="H7" t="e">
            <v>#REF!</v>
          </cell>
        </row>
      </sheetData>
      <sheetData sheetId="1">
        <row r="21">
          <cell r="IE21" t="str">
            <v>ERRORE!:   più di 10 attività seguenti</v>
          </cell>
          <cell r="IF21" t="str">
            <v>ATTENZIONE!:</v>
          </cell>
          <cell r="IG21" t="str">
            <v>Data anteriore all'inizio del progetto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omments" Target="../comments2.xml"/><Relationship Id="rId1" Type="http://schemas.openxmlformats.org/officeDocument/2006/relationships/printerSettings" Target="../printerSettings/printerSettings3.bin"/><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4" Type="http://schemas.openxmlformats.org/officeDocument/2006/relationships/comments" Target="../comments3.xml"/><Relationship Id="rId1" Type="http://schemas.openxmlformats.org/officeDocument/2006/relationships/printerSettings" Target="../printerSettings/printerSettings4.bin"/><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4" Type="http://schemas.openxmlformats.org/officeDocument/2006/relationships/comments" Target="../comments4.xml"/><Relationship Id="rId1" Type="http://schemas.openxmlformats.org/officeDocument/2006/relationships/printerSettings" Target="../printerSettings/printerSettings5.bin"/><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 Id="rId2"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12"/>
  <sheetViews>
    <sheetView tabSelected="1" topLeftCell="A55" zoomScale="130" zoomScaleNormal="130" zoomScalePageLayoutView="130" workbookViewId="0">
      <selection activeCell="E170" sqref="E170"/>
    </sheetView>
  </sheetViews>
  <sheetFormatPr baseColWidth="10" defaultColWidth="8.83203125" defaultRowHeight="15" x14ac:dyDescent="0.2"/>
  <cols>
    <col min="1" max="1" width="55.83203125" customWidth="1"/>
    <col min="2" max="2" width="35.1640625" customWidth="1"/>
    <col min="3" max="3" width="98.5" bestFit="1" customWidth="1"/>
    <col min="4" max="4" width="12.83203125" bestFit="1" customWidth="1"/>
    <col min="5" max="5" width="16" customWidth="1"/>
    <col min="8" max="8" width="8.83203125" customWidth="1"/>
  </cols>
  <sheetData>
    <row r="1" spans="1:10" ht="24" x14ac:dyDescent="0.3">
      <c r="A1" s="411" t="s">
        <v>365</v>
      </c>
      <c r="B1" s="411"/>
      <c r="C1" s="411"/>
    </row>
    <row r="3" spans="1:10" x14ac:dyDescent="0.2">
      <c r="A3" t="s">
        <v>366</v>
      </c>
    </row>
    <row r="5" spans="1:10" ht="16" x14ac:dyDescent="0.2">
      <c r="A5" s="413" t="s">
        <v>367</v>
      </c>
    </row>
    <row r="7" spans="1:10" x14ac:dyDescent="0.2">
      <c r="A7" t="s">
        <v>368</v>
      </c>
    </row>
    <row r="9" spans="1:10" ht="34" customHeight="1" x14ac:dyDescent="0.2">
      <c r="A9" s="430" t="s">
        <v>390</v>
      </c>
      <c r="B9" s="430"/>
      <c r="C9" s="430"/>
      <c r="D9" s="430"/>
      <c r="E9" s="430"/>
      <c r="F9" s="430"/>
      <c r="G9" s="430"/>
      <c r="H9" s="430"/>
      <c r="I9" s="430"/>
      <c r="J9" s="430"/>
    </row>
    <row r="10" spans="1:10" x14ac:dyDescent="0.2">
      <c r="A10" t="s">
        <v>385</v>
      </c>
    </row>
    <row r="12" spans="1:10" x14ac:dyDescent="0.2">
      <c r="A12" t="s">
        <v>369</v>
      </c>
    </row>
    <row r="34" spans="1:46" x14ac:dyDescent="0.2">
      <c r="A34" t="s">
        <v>370</v>
      </c>
    </row>
    <row r="35" spans="1:46" ht="58.75" customHeight="1" x14ac:dyDescent="0.2">
      <c r="A35" s="433" t="s">
        <v>372</v>
      </c>
      <c r="B35" s="433"/>
      <c r="C35" s="433"/>
      <c r="D35" s="433"/>
      <c r="E35" s="433"/>
      <c r="F35" s="433"/>
      <c r="G35" s="433"/>
      <c r="H35" s="433"/>
      <c r="I35" s="43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357"/>
      <c r="AG35" s="357"/>
      <c r="AH35" s="357"/>
      <c r="AI35" s="357"/>
      <c r="AJ35" s="357"/>
      <c r="AK35" s="357"/>
      <c r="AL35" s="357"/>
      <c r="AM35" s="357"/>
      <c r="AN35" s="357"/>
      <c r="AO35" s="357"/>
      <c r="AP35" s="357"/>
      <c r="AQ35" s="357"/>
      <c r="AR35" s="357"/>
      <c r="AS35" s="357"/>
      <c r="AT35" s="357"/>
    </row>
    <row r="48" spans="1:46" ht="16" x14ac:dyDescent="0.2">
      <c r="A48" s="413" t="s">
        <v>371</v>
      </c>
    </row>
    <row r="50" spans="1:24" ht="29.5" customHeight="1" x14ac:dyDescent="0.2">
      <c r="A50" s="430" t="s">
        <v>391</v>
      </c>
      <c r="B50" s="430"/>
      <c r="C50" s="430"/>
      <c r="D50" s="430"/>
      <c r="E50" s="430"/>
      <c r="F50" s="430"/>
      <c r="G50" s="430"/>
      <c r="H50" s="430"/>
      <c r="I50" s="430"/>
      <c r="J50" s="423"/>
      <c r="K50" s="423"/>
      <c r="L50" s="423"/>
      <c r="M50" s="423"/>
      <c r="N50" s="423"/>
      <c r="O50" s="423"/>
      <c r="P50" s="423"/>
      <c r="Q50" s="423"/>
      <c r="R50" s="423"/>
      <c r="S50" s="423"/>
      <c r="T50" s="423"/>
      <c r="U50" s="423"/>
      <c r="V50" s="423"/>
      <c r="W50" s="423"/>
      <c r="X50" s="423"/>
    </row>
    <row r="51" spans="1:24" ht="16" thickBot="1" x14ac:dyDescent="0.25"/>
    <row r="52" spans="1:24" ht="16" thickBot="1" x14ac:dyDescent="0.25">
      <c r="A52" s="414" t="s">
        <v>265</v>
      </c>
      <c r="B52" s="415"/>
    </row>
    <row r="53" spans="1:24" ht="16" thickBot="1" x14ac:dyDescent="0.25">
      <c r="A53" s="416" t="s">
        <v>266</v>
      </c>
      <c r="B53" s="417" t="s">
        <v>119</v>
      </c>
    </row>
    <row r="54" spans="1:24" ht="16" thickBot="1" x14ac:dyDescent="0.25">
      <c r="A54" s="418" t="s">
        <v>276</v>
      </c>
      <c r="B54" s="418"/>
    </row>
    <row r="55" spans="1:24" ht="16" thickBot="1" x14ac:dyDescent="0.25">
      <c r="A55" s="419" t="str">
        <f>IF(B53="si","Qual è il costo TOTALE del software di telegestione presente?","NON COMPILARE QUESTO CAMPO")</f>
        <v>NON COMPILARE QUESTO CAMPO</v>
      </c>
      <c r="B55" s="420"/>
    </row>
    <row r="57" spans="1:24" ht="47.5" customHeight="1" x14ac:dyDescent="0.2">
      <c r="A57" s="430" t="s">
        <v>373</v>
      </c>
      <c r="B57" s="430"/>
      <c r="C57" s="430"/>
      <c r="D57" s="430"/>
      <c r="E57" s="430"/>
      <c r="F57" s="430"/>
      <c r="G57" s="430"/>
      <c r="H57" s="430"/>
      <c r="I57" s="430"/>
      <c r="J57" s="430"/>
      <c r="K57" s="430"/>
      <c r="L57" s="423"/>
      <c r="M57" s="423"/>
      <c r="N57" s="423"/>
      <c r="O57" s="423"/>
      <c r="P57" s="423"/>
      <c r="Q57" s="423"/>
      <c r="R57" s="423"/>
      <c r="S57" s="423"/>
      <c r="T57" s="423"/>
      <c r="U57" s="423"/>
      <c r="V57" s="423"/>
      <c r="W57" s="423"/>
      <c r="X57" s="423"/>
    </row>
    <row r="60" spans="1:24" x14ac:dyDescent="0.2">
      <c r="A60" s="76"/>
    </row>
    <row r="61" spans="1:24" x14ac:dyDescent="0.2">
      <c r="A61" s="161"/>
    </row>
    <row r="62" spans="1:24" x14ac:dyDescent="0.2">
      <c r="A62" s="12"/>
    </row>
    <row r="90" spans="1:1" ht="16" x14ac:dyDescent="0.2">
      <c r="A90" s="413" t="s">
        <v>374</v>
      </c>
    </row>
    <row r="92" spans="1:1" x14ac:dyDescent="0.2">
      <c r="A92" t="s">
        <v>375</v>
      </c>
    </row>
    <row r="114" spans="1:1" ht="16" x14ac:dyDescent="0.2">
      <c r="A114" s="413" t="s">
        <v>376</v>
      </c>
    </row>
    <row r="116" spans="1:1" x14ac:dyDescent="0.2">
      <c r="A116" t="s">
        <v>392</v>
      </c>
    </row>
    <row r="118" spans="1:1" x14ac:dyDescent="0.2">
      <c r="A118" t="s">
        <v>393</v>
      </c>
    </row>
    <row r="130" spans="1:24" ht="16" x14ac:dyDescent="0.2">
      <c r="A130" s="413" t="s">
        <v>377</v>
      </c>
    </row>
    <row r="132" spans="1:24" x14ac:dyDescent="0.2">
      <c r="A132" s="435" t="s">
        <v>394</v>
      </c>
      <c r="B132" s="435"/>
      <c r="C132" s="435"/>
      <c r="D132" s="435"/>
      <c r="E132" s="435"/>
      <c r="F132" s="435"/>
      <c r="G132" s="435"/>
      <c r="H132" s="435"/>
      <c r="I132" s="435"/>
      <c r="J132" s="435"/>
    </row>
    <row r="133" spans="1:24" x14ac:dyDescent="0.2">
      <c r="A133" s="435"/>
      <c r="B133" s="435"/>
      <c r="C133" s="435"/>
      <c r="D133" s="435"/>
      <c r="E133" s="435"/>
      <c r="F133" s="435"/>
      <c r="G133" s="435"/>
      <c r="H133" s="435"/>
      <c r="I133" s="435"/>
      <c r="J133" s="435"/>
    </row>
    <row r="142" spans="1:24" ht="30.5" customHeight="1" x14ac:dyDescent="0.2">
      <c r="A142" s="430" t="s">
        <v>378</v>
      </c>
      <c r="B142" s="430"/>
      <c r="C142" s="430"/>
      <c r="D142" s="430"/>
      <c r="E142" s="430"/>
      <c r="F142" s="430"/>
      <c r="G142" s="430"/>
      <c r="H142" s="430"/>
      <c r="I142" s="430"/>
      <c r="J142" s="430"/>
      <c r="K142" s="422"/>
      <c r="L142" s="422"/>
      <c r="M142" s="422"/>
      <c r="N142" s="422"/>
      <c r="O142" s="422"/>
      <c r="P142" s="422"/>
      <c r="Q142" s="422"/>
      <c r="R142" s="422"/>
      <c r="S142" s="422"/>
      <c r="T142" s="422"/>
      <c r="U142" s="422"/>
      <c r="V142" s="422"/>
      <c r="W142" s="422"/>
      <c r="X142" s="422"/>
    </row>
    <row r="145" spans="1:22" x14ac:dyDescent="0.2">
      <c r="A145" s="322"/>
    </row>
    <row r="152" spans="1:22" x14ac:dyDescent="0.2">
      <c r="A152" t="s">
        <v>384</v>
      </c>
    </row>
    <row r="154" spans="1:22" s="421" customFormat="1" ht="16" thickBot="1" x14ac:dyDescent="0.25"/>
    <row r="155" spans="1:22" ht="16" thickTop="1" x14ac:dyDescent="0.2"/>
    <row r="156" spans="1:22" ht="16" x14ac:dyDescent="0.2">
      <c r="A156" s="413" t="s">
        <v>380</v>
      </c>
    </row>
    <row r="158" spans="1:22" ht="29.5" customHeight="1" x14ac:dyDescent="0.2">
      <c r="A158" s="430" t="s">
        <v>379</v>
      </c>
      <c r="B158" s="430"/>
      <c r="C158" s="430"/>
      <c r="D158" s="430"/>
      <c r="E158" s="430"/>
      <c r="F158" s="430"/>
      <c r="G158" s="430"/>
      <c r="H158" s="430"/>
      <c r="I158" s="430"/>
      <c r="J158" s="430"/>
      <c r="K158" s="430"/>
      <c r="L158" s="430"/>
      <c r="M158" s="430"/>
      <c r="N158" s="430"/>
      <c r="O158" s="430"/>
      <c r="P158" s="430"/>
      <c r="Q158" s="430"/>
      <c r="R158" s="430"/>
      <c r="S158" s="430"/>
      <c r="T158" s="430"/>
      <c r="U158" s="430"/>
      <c r="V158" s="430"/>
    </row>
    <row r="160" spans="1:22" ht="16" thickBot="1" x14ac:dyDescent="0.25"/>
    <row r="161" spans="1:11" ht="16" thickBot="1" x14ac:dyDescent="0.25">
      <c r="A161" s="431" t="s">
        <v>279</v>
      </c>
      <c r="B161" s="432"/>
      <c r="C161" s="262" t="s">
        <v>119</v>
      </c>
    </row>
    <row r="162" spans="1:11" s="421" customFormat="1" ht="16" thickBot="1" x14ac:dyDescent="0.25"/>
    <row r="163" spans="1:11" ht="16" thickTop="1" x14ac:dyDescent="0.2"/>
    <row r="164" spans="1:11" ht="16" x14ac:dyDescent="0.2">
      <c r="A164" s="413" t="s">
        <v>381</v>
      </c>
    </row>
    <row r="165" spans="1:11" ht="16" x14ac:dyDescent="0.2">
      <c r="A165" s="413"/>
    </row>
    <row r="166" spans="1:11" ht="16" x14ac:dyDescent="0.2">
      <c r="A166" s="413"/>
    </row>
    <row r="167" spans="1:11" ht="81" customHeight="1" x14ac:dyDescent="0.2">
      <c r="A167" s="434" t="s">
        <v>382</v>
      </c>
      <c r="B167" s="434"/>
      <c r="C167" s="434"/>
      <c r="D167" s="434"/>
      <c r="E167" s="434"/>
      <c r="F167" s="434"/>
      <c r="G167" s="434"/>
      <c r="H167" s="434"/>
      <c r="I167" s="434"/>
      <c r="J167" s="434"/>
      <c r="K167" s="434"/>
    </row>
    <row r="168" spans="1:11" ht="16" x14ac:dyDescent="0.2">
      <c r="A168" s="412"/>
    </row>
    <row r="169" spans="1:11" ht="16" x14ac:dyDescent="0.2">
      <c r="A169" s="412"/>
    </row>
    <row r="170" spans="1:11" ht="16" x14ac:dyDescent="0.2">
      <c r="A170" s="412"/>
    </row>
    <row r="171" spans="1:11" ht="16" x14ac:dyDescent="0.2">
      <c r="A171" s="412"/>
    </row>
    <row r="172" spans="1:11" ht="16" x14ac:dyDescent="0.2">
      <c r="A172" s="412"/>
    </row>
    <row r="173" spans="1:11" ht="16" x14ac:dyDescent="0.2">
      <c r="A173" s="412"/>
    </row>
    <row r="174" spans="1:11" ht="16" x14ac:dyDescent="0.2">
      <c r="A174" s="412"/>
    </row>
    <row r="175" spans="1:11" ht="16" x14ac:dyDescent="0.2">
      <c r="A175" s="412"/>
    </row>
    <row r="176" spans="1:11" ht="16" x14ac:dyDescent="0.2">
      <c r="A176" s="413"/>
    </row>
    <row r="177" spans="1:17" ht="16" x14ac:dyDescent="0.2">
      <c r="A177" s="413"/>
    </row>
    <row r="178" spans="1:17" ht="16" x14ac:dyDescent="0.2">
      <c r="A178" s="413"/>
    </row>
    <row r="179" spans="1:17" ht="16" x14ac:dyDescent="0.2">
      <c r="A179" s="413"/>
    </row>
    <row r="181" spans="1:17" x14ac:dyDescent="0.2">
      <c r="A181" s="148" t="s">
        <v>166</v>
      </c>
    </row>
    <row r="183" spans="1:17" x14ac:dyDescent="0.2">
      <c r="A183" s="5" t="s">
        <v>2</v>
      </c>
      <c r="B183" s="6">
        <v>0</v>
      </c>
      <c r="C183" s="6">
        <v>1</v>
      </c>
      <c r="D183" s="6">
        <v>2</v>
      </c>
      <c r="E183" s="6">
        <v>3</v>
      </c>
      <c r="F183" s="6">
        <v>4</v>
      </c>
      <c r="G183" s="6">
        <v>5</v>
      </c>
      <c r="H183" s="6">
        <v>6</v>
      </c>
      <c r="I183" s="6">
        <v>7</v>
      </c>
      <c r="J183" s="6">
        <v>8</v>
      </c>
      <c r="K183" s="6">
        <v>9</v>
      </c>
      <c r="L183" s="6">
        <v>10</v>
      </c>
      <c r="M183" s="6">
        <v>11</v>
      </c>
      <c r="N183" s="6">
        <v>12</v>
      </c>
      <c r="O183" s="6">
        <v>13</v>
      </c>
      <c r="P183" s="6">
        <v>14</v>
      </c>
      <c r="Q183" s="6">
        <v>15</v>
      </c>
    </row>
    <row r="184" spans="1:17" x14ac:dyDescent="0.2">
      <c r="A184" s="72" t="s">
        <v>167</v>
      </c>
      <c r="B184" s="142">
        <f>B145*(1+B155)</f>
        <v>0</v>
      </c>
    </row>
    <row r="185" spans="1:17" x14ac:dyDescent="0.2">
      <c r="A185" s="72" t="s">
        <v>168</v>
      </c>
      <c r="C185" s="142">
        <f>$G$104+$G$105+$G$108+IF($G$60&gt;0,0.1*($D$100+$G$60*'Prezzi servizi "smart"'!$I$12),0)+IF('Project Financing'!$G$61&gt;0,0.1*('Project Financing'!$D$101+'Project Financing'!$G$61*'Prezzi servizi "smart"'!$I$17),0)</f>
        <v>0</v>
      </c>
      <c r="D185" s="142">
        <f>$G$104+$G$105+$G$108+IF($G$60&gt;0,0.1*($D$100+$G$60*'Prezzi servizi "smart"'!$I$12),0)+IF('Project Financing'!$G$61&gt;0,0.1*('Project Financing'!$D$101+'Project Financing'!$G$61*'Prezzi servizi "smart"'!$I$17),0)</f>
        <v>0</v>
      </c>
      <c r="E185" s="142">
        <f>$G$104+$G$105+$G$108+IF($G$60&gt;0,0.1*($D$100+$G$60*'Prezzi servizi "smart"'!$I$12),0)+IF('Project Financing'!$G$61&gt;0,0.1*('Project Financing'!$D$101+'Project Financing'!$G$61*'Prezzi servizi "smart"'!$I$17),0)</f>
        <v>0</v>
      </c>
      <c r="F185" s="142">
        <f>$G$104+$G$105+$G$108+IF($G$60&gt;0,0.1*($D$100+$G$60*'Prezzi servizi "smart"'!$I$12),0)+IF('Project Financing'!$G$61&gt;0,0.1*('Project Financing'!$D$101+'Project Financing'!$G$61*'Prezzi servizi "smart"'!$I$17),0)</f>
        <v>0</v>
      </c>
      <c r="G185" s="142">
        <f>$G$104+$G$105+$G$108+IF($G$60&gt;0,0.1*($D$100+$G$60*'Prezzi servizi "smart"'!$I$12),0)+IF('Project Financing'!$G$61&gt;0,0.1*('Project Financing'!$D$101+'Project Financing'!$G$61*'Prezzi servizi "smart"'!$I$17),0)</f>
        <v>0</v>
      </c>
      <c r="H185" s="142">
        <f>$G$104+$G$105+$G$108+IF($G$60&gt;0,0.1*($D$100+$G$60*'Prezzi servizi "smart"'!$I$12),0)+IF('Project Financing'!$G$61&gt;0,0.1*('Project Financing'!$D$101+'Project Financing'!$G$61*'Prezzi servizi "smart"'!$I$17),0)</f>
        <v>0</v>
      </c>
      <c r="I185" s="142">
        <f>$G$104+$G$105+$G$108+IF($G$60&gt;0,0.1*($D$100+$G$60*'Prezzi servizi "smart"'!$I$12),0)+IF('Project Financing'!$G$61&gt;0,0.1*('Project Financing'!$D$101+'Project Financing'!$G$61*'Prezzi servizi "smart"'!$I$17),0)</f>
        <v>0</v>
      </c>
      <c r="J185" s="142">
        <f>$G$104+$G$105+$G$108+IF($G$60&gt;0,0.1*($D$100+$G$60*'Prezzi servizi "smart"'!$I$12),0)+IF('Project Financing'!$G$61&gt;0,0.1*('Project Financing'!$D$101+'Project Financing'!$G$61*'Prezzi servizi "smart"'!$I$17),0)</f>
        <v>0</v>
      </c>
      <c r="K185" s="142">
        <f>$G$104+$G$105+$G$108+IF($G$60&gt;0,0.1*($D$100+$G$60*'Prezzi servizi "smart"'!$I$12),0)+IF('Project Financing'!$G$61&gt;0,0.1*('Project Financing'!$D$101+'Project Financing'!$G$61*'Prezzi servizi "smart"'!$I$17),0)</f>
        <v>0</v>
      </c>
      <c r="L185" s="142">
        <f>$G$104+$G$105+$G$108+IF($G$60&gt;0,0.1*($D$100+$G$60*'Prezzi servizi "smart"'!$I$12),0)+IF('Project Financing'!$G$61&gt;0,0.1*('Project Financing'!$D$101+'Project Financing'!$G$61*'Prezzi servizi "smart"'!$I$17),0)</f>
        <v>0</v>
      </c>
      <c r="M185" s="142">
        <f>$G$104+$G$105+$G$108+IF($G$60&gt;0,0.1*($D$100+$G$60*'Prezzi servizi "smart"'!$I$12),0)+IF('Project Financing'!$G$61&gt;0,0.1*('Project Financing'!$D$101+'Project Financing'!$G$61*'Prezzi servizi "smart"'!$I$17),0)</f>
        <v>0</v>
      </c>
      <c r="N185" s="142">
        <f>$G$104+$G$105+$G$108+IF($G$60&gt;0,0.1*($D$100+$G$60*'Prezzi servizi "smart"'!$I$12),0)+IF('Project Financing'!$G$61&gt;0,0.1*('Project Financing'!$D$101+'Project Financing'!$G$61*'Prezzi servizi "smart"'!$I$17),0)</f>
        <v>0</v>
      </c>
      <c r="O185" s="142">
        <f>$G$104+$G$105+$G$108+IF($G$60&gt;0,0.1*($D$100+$G$60*'Prezzi servizi "smart"'!$I$12),0)+IF('Project Financing'!$G$61&gt;0,0.1*('Project Financing'!$D$101+'Project Financing'!$G$61*'Prezzi servizi "smart"'!$I$17),0)</f>
        <v>0</v>
      </c>
      <c r="P185" s="142">
        <f>$G$104+$G$105+$G$108+IF($G$60&gt;0,0.1*($D$100+$G$60*'Prezzi servizi "smart"'!$I$12),0)+IF('Project Financing'!$G$61&gt;0,0.1*('Project Financing'!$D$101+'Project Financing'!$G$61*'Prezzi servizi "smart"'!$I$17),0)</f>
        <v>0</v>
      </c>
      <c r="Q185" s="142">
        <f>$G$104+$G$105+$G$108+IF($G$60&gt;0,0.1*($D$100+$G$60*'Prezzi servizi "smart"'!$I$12),0)+IF('Project Financing'!$G$61&gt;0,0.1*('Project Financing'!$D$101+'Project Financing'!$G$61*'Prezzi servizi "smart"'!$I$17),0)</f>
        <v>0</v>
      </c>
    </row>
    <row r="186" spans="1:17" ht="16" thickBot="1" x14ac:dyDescent="0.25">
      <c r="A186" s="72" t="s">
        <v>169</v>
      </c>
      <c r="B186" s="142">
        <f>B184/(1+$D$119)^B183</f>
        <v>0</v>
      </c>
      <c r="C186" s="142">
        <f t="shared" ref="C186:Q186" si="0">C185/(1+$D$119)^C183</f>
        <v>0</v>
      </c>
      <c r="D186" s="142">
        <f t="shared" si="0"/>
        <v>0</v>
      </c>
      <c r="E186" s="142">
        <f t="shared" si="0"/>
        <v>0</v>
      </c>
      <c r="F186" s="142">
        <f t="shared" si="0"/>
        <v>0</v>
      </c>
      <c r="G186" s="142">
        <f t="shared" si="0"/>
        <v>0</v>
      </c>
      <c r="H186" s="142">
        <f t="shared" si="0"/>
        <v>0</v>
      </c>
      <c r="I186" s="142">
        <f t="shared" si="0"/>
        <v>0</v>
      </c>
      <c r="J186" s="142">
        <f t="shared" si="0"/>
        <v>0</v>
      </c>
      <c r="K186" s="142">
        <f t="shared" si="0"/>
        <v>0</v>
      </c>
      <c r="L186" s="142">
        <f t="shared" si="0"/>
        <v>0</v>
      </c>
      <c r="M186" s="142">
        <f t="shared" si="0"/>
        <v>0</v>
      </c>
      <c r="N186" s="142">
        <f t="shared" si="0"/>
        <v>0</v>
      </c>
      <c r="O186" s="142">
        <f t="shared" si="0"/>
        <v>0</v>
      </c>
      <c r="P186" s="142">
        <f t="shared" si="0"/>
        <v>0</v>
      </c>
      <c r="Q186" s="142">
        <f t="shared" si="0"/>
        <v>0</v>
      </c>
    </row>
    <row r="187" spans="1:17" ht="16" thickBot="1" x14ac:dyDescent="0.25">
      <c r="A187" s="25" t="s">
        <v>348</v>
      </c>
      <c r="B187" s="163">
        <f>SUM(B186:Q186)</f>
        <v>0</v>
      </c>
      <c r="C187" s="72" t="s">
        <v>352</v>
      </c>
    </row>
    <row r="188" spans="1:17" ht="16" thickBot="1" x14ac:dyDescent="0.25"/>
    <row r="189" spans="1:17" ht="16" thickBot="1" x14ac:dyDescent="0.25">
      <c r="A189" s="149" t="s">
        <v>174</v>
      </c>
      <c r="B189" s="155"/>
      <c r="C189" s="72" t="s">
        <v>353</v>
      </c>
      <c r="D189" s="25" t="s">
        <v>176</v>
      </c>
      <c r="E189" s="174"/>
    </row>
    <row r="190" spans="1:17" ht="16" thickBot="1" x14ac:dyDescent="0.25">
      <c r="A190" s="150" t="s">
        <v>157</v>
      </c>
      <c r="B190" s="202" t="e">
        <f>B189/B107</f>
        <v>#DIV/0!</v>
      </c>
    </row>
    <row r="192" spans="1:17" x14ac:dyDescent="0.2">
      <c r="A192" s="5" t="s">
        <v>2</v>
      </c>
      <c r="B192" s="6">
        <v>0</v>
      </c>
      <c r="C192" s="6">
        <v>1</v>
      </c>
      <c r="D192" s="6">
        <v>2</v>
      </c>
      <c r="E192" s="6">
        <v>3</v>
      </c>
      <c r="F192" s="6">
        <v>4</v>
      </c>
      <c r="G192" s="6">
        <v>5</v>
      </c>
      <c r="H192" s="6">
        <v>6</v>
      </c>
      <c r="I192" s="6">
        <v>7</v>
      </c>
      <c r="J192" s="6">
        <v>8</v>
      </c>
      <c r="K192" s="6">
        <v>9</v>
      </c>
      <c r="L192" s="6">
        <v>10</v>
      </c>
      <c r="M192" s="6">
        <v>11</v>
      </c>
      <c r="N192" s="6">
        <v>12</v>
      </c>
      <c r="O192" s="6">
        <v>13</v>
      </c>
      <c r="P192" s="6">
        <v>14</v>
      </c>
      <c r="Q192" s="6">
        <v>15</v>
      </c>
    </row>
    <row r="193" spans="1:17" x14ac:dyDescent="0.2">
      <c r="A193" s="72" t="s">
        <v>156</v>
      </c>
      <c r="B193" s="143"/>
      <c r="C193" s="143">
        <f t="shared" ref="C193:Q193" si="1">$D$133</f>
        <v>0</v>
      </c>
      <c r="D193" s="143">
        <f t="shared" si="1"/>
        <v>0</v>
      </c>
      <c r="E193" s="143">
        <f t="shared" si="1"/>
        <v>0</v>
      </c>
      <c r="F193" s="143">
        <f t="shared" si="1"/>
        <v>0</v>
      </c>
      <c r="G193" s="143">
        <f t="shared" si="1"/>
        <v>0</v>
      </c>
      <c r="H193" s="143">
        <f t="shared" si="1"/>
        <v>0</v>
      </c>
      <c r="I193" s="143">
        <f t="shared" si="1"/>
        <v>0</v>
      </c>
      <c r="J193" s="143">
        <f t="shared" si="1"/>
        <v>0</v>
      </c>
      <c r="K193" s="143">
        <f t="shared" si="1"/>
        <v>0</v>
      </c>
      <c r="L193" s="143">
        <f t="shared" si="1"/>
        <v>0</v>
      </c>
      <c r="M193" s="143">
        <f t="shared" si="1"/>
        <v>0</v>
      </c>
      <c r="N193" s="143">
        <f t="shared" si="1"/>
        <v>0</v>
      </c>
      <c r="O193" s="143">
        <f t="shared" si="1"/>
        <v>0</v>
      </c>
      <c r="P193" s="143">
        <f t="shared" si="1"/>
        <v>0</v>
      </c>
      <c r="Q193" s="143">
        <f t="shared" si="1"/>
        <v>0</v>
      </c>
    </row>
    <row r="194" spans="1:17" x14ac:dyDescent="0.2">
      <c r="A194" s="72" t="s">
        <v>170</v>
      </c>
      <c r="C194" s="142">
        <f t="shared" ref="C194:Q194" si="2">C193/(1+$D$119)^C192</f>
        <v>0</v>
      </c>
      <c r="D194" s="142">
        <f t="shared" si="2"/>
        <v>0</v>
      </c>
      <c r="E194" s="142">
        <f t="shared" si="2"/>
        <v>0</v>
      </c>
      <c r="F194" s="142">
        <f t="shared" si="2"/>
        <v>0</v>
      </c>
      <c r="G194" s="142">
        <f t="shared" si="2"/>
        <v>0</v>
      </c>
      <c r="H194" s="142">
        <f t="shared" si="2"/>
        <v>0</v>
      </c>
      <c r="I194" s="142">
        <f t="shared" si="2"/>
        <v>0</v>
      </c>
      <c r="J194" s="142">
        <f t="shared" si="2"/>
        <v>0</v>
      </c>
      <c r="K194" s="142">
        <f t="shared" si="2"/>
        <v>0</v>
      </c>
      <c r="L194" s="142">
        <f t="shared" si="2"/>
        <v>0</v>
      </c>
      <c r="M194" s="142">
        <f t="shared" si="2"/>
        <v>0</v>
      </c>
      <c r="N194" s="142">
        <f t="shared" si="2"/>
        <v>0</v>
      </c>
      <c r="O194" s="142">
        <f t="shared" si="2"/>
        <v>0</v>
      </c>
      <c r="P194" s="142">
        <f t="shared" si="2"/>
        <v>0</v>
      </c>
      <c r="Q194" s="142">
        <f t="shared" si="2"/>
        <v>0</v>
      </c>
    </row>
    <row r="195" spans="1:17" ht="16" thickBot="1" x14ac:dyDescent="0.25"/>
    <row r="196" spans="1:17" ht="16" thickBot="1" x14ac:dyDescent="0.25">
      <c r="A196" s="25" t="s">
        <v>347</v>
      </c>
      <c r="B196" s="158">
        <f>SUM(C194:Q194)</f>
        <v>0</v>
      </c>
      <c r="C196" s="72" t="s">
        <v>354</v>
      </c>
    </row>
    <row r="200" spans="1:17" ht="28.25" customHeight="1" x14ac:dyDescent="0.2">
      <c r="A200" s="430" t="s">
        <v>383</v>
      </c>
      <c r="B200" s="430"/>
      <c r="C200" s="430"/>
      <c r="D200" s="430"/>
      <c r="E200" s="430"/>
      <c r="F200" s="430"/>
      <c r="G200" s="430"/>
      <c r="H200" s="430"/>
      <c r="I200" s="430"/>
      <c r="J200" s="430"/>
    </row>
    <row r="202" spans="1:17" ht="16" thickBot="1" x14ac:dyDescent="0.25"/>
    <row r="203" spans="1:17" ht="16" thickBot="1" x14ac:dyDescent="0.25">
      <c r="A203" s="431" t="s">
        <v>279</v>
      </c>
      <c r="B203" s="432"/>
      <c r="C203" s="262" t="s">
        <v>119</v>
      </c>
    </row>
    <row r="206" spans="1:17" x14ac:dyDescent="0.2">
      <c r="A206" t="s">
        <v>386</v>
      </c>
    </row>
    <row r="208" spans="1:17" ht="16" thickBot="1" x14ac:dyDescent="0.25"/>
    <row r="209" spans="1:2" ht="16" thickBot="1" x14ac:dyDescent="0.25">
      <c r="A209" s="154" t="s">
        <v>175</v>
      </c>
      <c r="B209" s="153">
        <f>SUM(C201:Q201)</f>
        <v>0</v>
      </c>
    </row>
    <row r="210" spans="1:2" x14ac:dyDescent="0.2">
      <c r="A210" s="314" t="s">
        <v>287</v>
      </c>
      <c r="B210" s="316">
        <f>SUM(C203:Q203)</f>
        <v>0</v>
      </c>
    </row>
    <row r="211" spans="1:2" x14ac:dyDescent="0.2">
      <c r="A211" s="315" t="s">
        <v>310</v>
      </c>
      <c r="B211" s="317">
        <f>SUM(C204:Q204)</f>
        <v>0</v>
      </c>
    </row>
    <row r="212" spans="1:2" ht="16" thickBot="1" x14ac:dyDescent="0.25">
      <c r="A212" s="313" t="s">
        <v>288</v>
      </c>
      <c r="B212" s="233">
        <f>SUM(C205:Q205)</f>
        <v>0</v>
      </c>
    </row>
  </sheetData>
  <mergeCells count="11">
    <mergeCell ref="A167:K167"/>
    <mergeCell ref="A200:J200"/>
    <mergeCell ref="A203:B203"/>
    <mergeCell ref="A142:J142"/>
    <mergeCell ref="A57:K57"/>
    <mergeCell ref="A132:J133"/>
    <mergeCell ref="A50:I50"/>
    <mergeCell ref="A161:B161"/>
    <mergeCell ref="A158:V158"/>
    <mergeCell ref="A35:I35"/>
    <mergeCell ref="A9:J9"/>
  </mergeCells>
  <dataValidations count="1">
    <dataValidation type="list" allowBlank="1" showInputMessage="1" showErrorMessage="1" sqref="B53 C161 C203">
      <formula1>manut</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81"/>
  <sheetViews>
    <sheetView topLeftCell="A126" zoomScale="80" zoomScaleNormal="80" zoomScalePageLayoutView="80" workbookViewId="0">
      <selection activeCell="D181" sqref="D181"/>
    </sheetView>
  </sheetViews>
  <sheetFormatPr baseColWidth="10" defaultColWidth="8.83203125" defaultRowHeight="15" x14ac:dyDescent="0.2"/>
  <cols>
    <col min="2" max="2" width="42.1640625" customWidth="1"/>
    <col min="3" max="3" width="95.33203125" bestFit="1" customWidth="1"/>
    <col min="4" max="4" width="77.33203125" customWidth="1"/>
    <col min="5" max="5" width="66" customWidth="1"/>
    <col min="6" max="6" width="97.5" customWidth="1"/>
    <col min="7" max="7" width="55.1640625" bestFit="1" customWidth="1"/>
    <col min="8" max="8" width="51.83203125" customWidth="1"/>
    <col min="9" max="9" width="55" customWidth="1"/>
    <col min="10" max="10" width="54.5" customWidth="1"/>
    <col min="11" max="11" width="40.1640625" customWidth="1"/>
    <col min="12" max="12" width="27.83203125" bestFit="1" customWidth="1"/>
    <col min="13" max="13" width="17.1640625" bestFit="1" customWidth="1"/>
    <col min="14" max="14" width="15.33203125" bestFit="1" customWidth="1"/>
    <col min="15" max="16" width="19.33203125" bestFit="1" customWidth="1"/>
    <col min="17" max="24" width="13.83203125" bestFit="1" customWidth="1"/>
  </cols>
  <sheetData>
    <row r="1" spans="1:16" ht="16" x14ac:dyDescent="0.2">
      <c r="A1" s="223" t="s">
        <v>292</v>
      </c>
      <c r="D1" s="424" t="s">
        <v>387</v>
      </c>
    </row>
    <row r="2" spans="1:16" x14ac:dyDescent="0.2">
      <c r="D2" s="425" t="s">
        <v>388</v>
      </c>
    </row>
    <row r="3" spans="1:16" x14ac:dyDescent="0.2">
      <c r="D3" s="77"/>
    </row>
    <row r="4" spans="1:16" ht="16" thickBot="1" x14ac:dyDescent="0.25">
      <c r="D4" s="77"/>
      <c r="H4" s="77"/>
      <c r="L4" s="166"/>
      <c r="O4" s="129"/>
      <c r="P4" s="130"/>
    </row>
    <row r="5" spans="1:16" ht="14.5" customHeight="1" x14ac:dyDescent="0.2">
      <c r="A5" s="443" t="s">
        <v>254</v>
      </c>
      <c r="B5" s="206" t="s">
        <v>28</v>
      </c>
      <c r="C5" s="206" t="s">
        <v>116</v>
      </c>
      <c r="D5" s="205" t="s">
        <v>250</v>
      </c>
      <c r="E5" s="206" t="s">
        <v>251</v>
      </c>
      <c r="F5" s="185" t="s">
        <v>252</v>
      </c>
      <c r="G5" s="206" t="s">
        <v>182</v>
      </c>
      <c r="H5" s="206" t="s">
        <v>253</v>
      </c>
      <c r="I5" s="206" t="s">
        <v>144</v>
      </c>
      <c r="J5" s="206" t="s">
        <v>145</v>
      </c>
      <c r="K5" s="206" t="s">
        <v>146</v>
      </c>
      <c r="L5" s="207" t="s">
        <v>147</v>
      </c>
      <c r="O5" s="131"/>
      <c r="P5" s="75"/>
    </row>
    <row r="6" spans="1:16" ht="14.5" customHeight="1" x14ac:dyDescent="0.2">
      <c r="A6" s="444"/>
      <c r="B6" s="274" t="s">
        <v>29</v>
      </c>
      <c r="C6" s="84" t="s">
        <v>97</v>
      </c>
      <c r="D6" s="217"/>
      <c r="E6" s="84">
        <f>'Dettaglio strade (ENEA)'!C6</f>
        <v>6</v>
      </c>
      <c r="F6" s="84"/>
      <c r="G6" s="84">
        <v>0.9</v>
      </c>
      <c r="H6" s="217"/>
      <c r="I6" s="84">
        <v>80</v>
      </c>
      <c r="J6" s="221"/>
      <c r="K6" s="219">
        <f>ROUNDDOWN(D6/'Dettaglio strade (ENEA)'!D6,0)</f>
        <v>0</v>
      </c>
      <c r="L6" s="84">
        <f t="shared" ref="L6:L17" si="0">ROUNDUP(IF(ISNUMBER(J6),K6/J6,K6/I6),0)</f>
        <v>0</v>
      </c>
      <c r="O6" s="127"/>
      <c r="P6" s="75"/>
    </row>
    <row r="7" spans="1:16" ht="15" customHeight="1" x14ac:dyDescent="0.2">
      <c r="A7" s="444"/>
      <c r="B7" s="274" t="s">
        <v>103</v>
      </c>
      <c r="C7" s="448" t="s">
        <v>94</v>
      </c>
      <c r="D7" s="217"/>
      <c r="E7" s="84">
        <f>'Dettaglio strade (ENEA)'!C19</f>
        <v>7</v>
      </c>
      <c r="F7" s="84"/>
      <c r="G7" s="84">
        <v>1.1000000000000001</v>
      </c>
      <c r="H7" s="217"/>
      <c r="I7" s="84">
        <v>80</v>
      </c>
      <c r="J7" s="221"/>
      <c r="K7" s="219">
        <f>ROUNDDOWN(D7/'Dettaglio strade (ENEA)'!D19,0)</f>
        <v>0</v>
      </c>
      <c r="L7" s="84">
        <f t="shared" si="0"/>
        <v>0</v>
      </c>
    </row>
    <row r="8" spans="1:16" ht="15" customHeight="1" x14ac:dyDescent="0.2">
      <c r="A8" s="444"/>
      <c r="B8" s="274" t="s">
        <v>104</v>
      </c>
      <c r="C8" s="448"/>
      <c r="D8" s="217"/>
      <c r="E8" s="84">
        <f>'Dettaglio strade (ENEA)'!C32+2*1.5</f>
        <v>10</v>
      </c>
      <c r="F8" s="84"/>
      <c r="G8" s="84">
        <v>1.1000000000000001</v>
      </c>
      <c r="H8" s="217"/>
      <c r="I8" s="84">
        <v>80</v>
      </c>
      <c r="J8" s="221"/>
      <c r="K8" s="219">
        <f>ROUNDDOWN(D8/'Dettaglio strade (ENEA)'!D32,0)</f>
        <v>0</v>
      </c>
      <c r="L8" s="84">
        <f t="shared" si="0"/>
        <v>0</v>
      </c>
    </row>
    <row r="9" spans="1:16" ht="15" customHeight="1" x14ac:dyDescent="0.2">
      <c r="A9" s="444"/>
      <c r="B9" s="274" t="s">
        <v>105</v>
      </c>
      <c r="C9" s="449" t="s">
        <v>82</v>
      </c>
      <c r="D9" s="217"/>
      <c r="E9" s="218">
        <f>'Dettaglio strade (ENEA)'!C46+2*1.5</f>
        <v>9</v>
      </c>
      <c r="F9" s="84"/>
      <c r="G9" s="218">
        <v>1.6</v>
      </c>
      <c r="H9" s="217"/>
      <c r="I9" s="84">
        <v>80</v>
      </c>
      <c r="J9" s="221"/>
      <c r="K9" s="219">
        <f>ROUNDDOWN(D9/'Dettaglio strade (ENEA)'!D46,0)</f>
        <v>0</v>
      </c>
      <c r="L9" s="84">
        <f t="shared" si="0"/>
        <v>0</v>
      </c>
    </row>
    <row r="10" spans="1:16" ht="15" customHeight="1" x14ac:dyDescent="0.2">
      <c r="A10" s="444"/>
      <c r="B10" s="274" t="s">
        <v>106</v>
      </c>
      <c r="C10" s="449"/>
      <c r="D10" s="217"/>
      <c r="E10" s="218">
        <f>'Dettaglio strade (ENEA)'!C60</f>
        <v>8</v>
      </c>
      <c r="F10" s="84"/>
      <c r="G10" s="218">
        <v>1.6</v>
      </c>
      <c r="H10" s="217"/>
      <c r="I10" s="84">
        <v>80</v>
      </c>
      <c r="J10" s="221"/>
      <c r="K10" s="219">
        <f>ROUNDDOWN(D10/'Dettaglio strade (ENEA)'!D60,0)</f>
        <v>0</v>
      </c>
      <c r="L10" s="84">
        <f t="shared" si="0"/>
        <v>0</v>
      </c>
    </row>
    <row r="11" spans="1:16" ht="15" customHeight="1" x14ac:dyDescent="0.2">
      <c r="A11" s="444"/>
      <c r="B11" s="274" t="s">
        <v>107</v>
      </c>
      <c r="C11" s="449"/>
      <c r="D11" s="217"/>
      <c r="E11" s="218">
        <f>'Dettaglio strade (ENEA)'!C73+'Dettaglio strade (ENEA)'!G73</f>
        <v>10</v>
      </c>
      <c r="F11" s="84"/>
      <c r="G11" s="218">
        <v>1.5</v>
      </c>
      <c r="H11" s="217"/>
      <c r="I11" s="84">
        <v>80</v>
      </c>
      <c r="J11" s="221"/>
      <c r="K11" s="219">
        <f>ROUNDDOWN(D11/'Dettaglio strade (ENEA)'!D73,0)</f>
        <v>0</v>
      </c>
      <c r="L11" s="84">
        <f t="shared" si="0"/>
        <v>0</v>
      </c>
    </row>
    <row r="12" spans="1:16" ht="15" customHeight="1" x14ac:dyDescent="0.2">
      <c r="A12" s="444"/>
      <c r="B12" s="274" t="s">
        <v>108</v>
      </c>
      <c r="C12" s="449"/>
      <c r="D12" s="217"/>
      <c r="E12" s="218">
        <f>'Dettaglio strade (ENEA)'!C87+2*1.5</f>
        <v>13</v>
      </c>
      <c r="F12" s="84"/>
      <c r="G12" s="218">
        <v>1.6</v>
      </c>
      <c r="H12" s="217"/>
      <c r="I12" s="84">
        <v>80</v>
      </c>
      <c r="J12" s="221"/>
      <c r="K12" s="219">
        <f>ROUNDDOWN(D12/'Dettaglio strade (ENEA)'!D87,0)</f>
        <v>0</v>
      </c>
      <c r="L12" s="84">
        <f t="shared" si="0"/>
        <v>0</v>
      </c>
    </row>
    <row r="13" spans="1:16" ht="15" customHeight="1" x14ac:dyDescent="0.2">
      <c r="A13" s="444"/>
      <c r="B13" s="274" t="s">
        <v>36</v>
      </c>
      <c r="C13" s="84" t="s">
        <v>44</v>
      </c>
      <c r="D13" s="217"/>
      <c r="E13" s="220">
        <f>('Dettaglio strade (ENEA)'!C99+2.5)*2</f>
        <v>19</v>
      </c>
      <c r="F13" s="84"/>
      <c r="G13" s="218">
        <v>2.4500000000000002</v>
      </c>
      <c r="H13" s="217"/>
      <c r="I13" s="84">
        <v>80</v>
      </c>
      <c r="J13" s="221"/>
      <c r="K13" s="219">
        <f>ROUNDDOWN(D13/'Dettaglio strade (ENEA)'!D99*2,0)</f>
        <v>0</v>
      </c>
      <c r="L13" s="84">
        <f t="shared" si="0"/>
        <v>0</v>
      </c>
    </row>
    <row r="14" spans="1:16" ht="15" customHeight="1" x14ac:dyDescent="0.2">
      <c r="A14" s="444"/>
      <c r="B14" s="274" t="s">
        <v>109</v>
      </c>
      <c r="C14" s="84" t="s">
        <v>74</v>
      </c>
      <c r="D14" s="217"/>
      <c r="E14" s="220">
        <f>'Dettaglio strade (ENEA)'!C114</f>
        <v>12</v>
      </c>
      <c r="F14" s="84"/>
      <c r="G14" s="218">
        <v>3.4</v>
      </c>
      <c r="H14" s="217"/>
      <c r="I14" s="84">
        <v>80</v>
      </c>
      <c r="J14" s="221"/>
      <c r="K14" s="219">
        <f>ROUNDDOWN(D14/'Dettaglio strade (ENEA)'!D114*2,0)</f>
        <v>0</v>
      </c>
      <c r="L14" s="84">
        <f t="shared" si="0"/>
        <v>0</v>
      </c>
    </row>
    <row r="15" spans="1:16" ht="15" customHeight="1" x14ac:dyDescent="0.2">
      <c r="A15" s="444"/>
      <c r="B15" s="274" t="s">
        <v>38</v>
      </c>
      <c r="C15" s="84" t="s">
        <v>44</v>
      </c>
      <c r="D15" s="217"/>
      <c r="E15" s="84">
        <f>'Dettaglio strade (ENEA)'!C129</f>
        <v>4</v>
      </c>
      <c r="F15" s="84"/>
      <c r="G15" s="84">
        <v>2.4300000000000002</v>
      </c>
      <c r="H15" s="217"/>
      <c r="I15" s="84">
        <v>80</v>
      </c>
      <c r="J15" s="221"/>
      <c r="K15" s="219">
        <f>ROUNDDOWN(D15/'Dettaglio strade (ENEA)'!D129,0)</f>
        <v>0</v>
      </c>
      <c r="L15" s="84">
        <f t="shared" si="0"/>
        <v>0</v>
      </c>
    </row>
    <row r="16" spans="1:16" ht="15" customHeight="1" x14ac:dyDescent="0.2">
      <c r="A16" s="444"/>
      <c r="B16" s="275"/>
      <c r="C16" s="84" t="s">
        <v>74</v>
      </c>
      <c r="D16" s="221"/>
      <c r="E16" s="222"/>
      <c r="F16" s="221"/>
      <c r="G16" s="218">
        <v>3.4</v>
      </c>
      <c r="H16" s="221"/>
      <c r="I16" s="84">
        <v>80</v>
      </c>
      <c r="J16" s="221"/>
      <c r="K16" s="218">
        <f>IFERROR(ROUNDDOWN(D16/F16,0),0)</f>
        <v>0</v>
      </c>
      <c r="L16" s="84">
        <f t="shared" si="0"/>
        <v>0</v>
      </c>
    </row>
    <row r="17" spans="1:13" ht="15" customHeight="1" x14ac:dyDescent="0.2">
      <c r="A17" s="444"/>
      <c r="B17" s="275"/>
      <c r="C17" s="84" t="s">
        <v>44</v>
      </c>
      <c r="D17" s="221"/>
      <c r="E17" s="222"/>
      <c r="F17" s="221"/>
      <c r="G17" s="218">
        <v>2.4500000000000002</v>
      </c>
      <c r="H17" s="221"/>
      <c r="I17" s="84">
        <v>80</v>
      </c>
      <c r="J17" s="221"/>
      <c r="K17" s="218">
        <f>IFERROR(ROUNDDOWN(D17/F17,0),0)</f>
        <v>0</v>
      </c>
      <c r="L17" s="84">
        <f t="shared" si="0"/>
        <v>0</v>
      </c>
    </row>
    <row r="18" spans="1:13" ht="15" customHeight="1" x14ac:dyDescent="0.2">
      <c r="A18" s="444"/>
      <c r="B18" s="275"/>
      <c r="C18" s="84" t="s">
        <v>82</v>
      </c>
      <c r="D18" s="221"/>
      <c r="E18" s="222"/>
      <c r="F18" s="221"/>
      <c r="G18" s="218">
        <v>1.6</v>
      </c>
      <c r="H18" s="221"/>
      <c r="I18" s="84">
        <v>80</v>
      </c>
      <c r="J18" s="221"/>
      <c r="K18" s="218">
        <f>IFERROR(ROUNDDOWN(D18/F18,0),0)</f>
        <v>0</v>
      </c>
      <c r="L18" s="84">
        <f t="shared" ref="L18:L20" si="1">ROUNDUP(IF(ISNUMBER(J18),K18/J18,K18/I18),0)</f>
        <v>0</v>
      </c>
    </row>
    <row r="19" spans="1:13" ht="15" customHeight="1" x14ac:dyDescent="0.2">
      <c r="A19" s="444"/>
      <c r="B19" s="275"/>
      <c r="C19" s="84" t="s">
        <v>94</v>
      </c>
      <c r="D19" s="221"/>
      <c r="E19" s="222"/>
      <c r="F19" s="221"/>
      <c r="G19" s="218">
        <v>1.1000000000000001</v>
      </c>
      <c r="H19" s="221"/>
      <c r="I19" s="84">
        <v>80</v>
      </c>
      <c r="J19" s="221"/>
      <c r="K19" s="218">
        <f>IFERROR(ROUNDDOWN(D19/F19,0),0)</f>
        <v>0</v>
      </c>
      <c r="L19" s="84">
        <f t="shared" si="1"/>
        <v>0</v>
      </c>
    </row>
    <row r="20" spans="1:13" ht="15" customHeight="1" x14ac:dyDescent="0.2">
      <c r="A20" s="444"/>
      <c r="B20" s="275"/>
      <c r="C20" s="84" t="s">
        <v>97</v>
      </c>
      <c r="D20" s="221"/>
      <c r="E20" s="222"/>
      <c r="F20" s="221"/>
      <c r="G20" s="218">
        <v>0.9</v>
      </c>
      <c r="H20" s="221"/>
      <c r="I20" s="84">
        <v>80</v>
      </c>
      <c r="J20" s="221"/>
      <c r="K20" s="218">
        <f>IFERROR(ROUNDDOWN(D20/F20,0),0)</f>
        <v>0</v>
      </c>
      <c r="L20" s="84">
        <f t="shared" si="1"/>
        <v>0</v>
      </c>
    </row>
    <row r="21" spans="1:13" ht="16" customHeight="1" thickBot="1" x14ac:dyDescent="0.25">
      <c r="A21" s="445"/>
      <c r="B21" s="213"/>
      <c r="C21" s="213"/>
      <c r="D21" s="208">
        <f>SUM(D6:D20)</f>
        <v>0</v>
      </c>
      <c r="E21" s="209"/>
      <c r="F21" s="210"/>
      <c r="G21" s="211"/>
      <c r="H21" s="212">
        <f>SUM(H6:H20)</f>
        <v>0</v>
      </c>
      <c r="I21" s="213"/>
      <c r="J21" s="214"/>
      <c r="K21" s="215">
        <f>SUM(K6:K20)</f>
        <v>0</v>
      </c>
      <c r="L21" s="216">
        <f>SUM(L6:L20)</f>
        <v>0</v>
      </c>
    </row>
    <row r="22" spans="1:13" x14ac:dyDescent="0.2">
      <c r="D22" s="170"/>
      <c r="E22" s="18"/>
      <c r="F22" s="170"/>
      <c r="G22" s="92"/>
      <c r="H22" s="19"/>
      <c r="I22" s="19"/>
      <c r="J22" s="19"/>
      <c r="K22" s="19"/>
      <c r="L22" s="169"/>
      <c r="M22" s="17"/>
    </row>
    <row r="23" spans="1:13" ht="16" thickBot="1" x14ac:dyDescent="0.25">
      <c r="D23" s="170"/>
      <c r="I23" s="18"/>
      <c r="J23" s="170"/>
      <c r="K23" s="92"/>
      <c r="L23" s="19"/>
      <c r="M23" s="17"/>
    </row>
    <row r="24" spans="1:13" ht="16" thickBot="1" x14ac:dyDescent="0.25">
      <c r="C24" s="75"/>
      <c r="D24" s="77" t="s">
        <v>260</v>
      </c>
      <c r="E24" s="18"/>
      <c r="F24" s="265" t="s">
        <v>264</v>
      </c>
      <c r="J24" s="92"/>
      <c r="K24" s="19"/>
      <c r="M24" s="17"/>
    </row>
    <row r="25" spans="1:13" ht="15" customHeight="1" thickBot="1" x14ac:dyDescent="0.25">
      <c r="A25" s="453" t="s">
        <v>308</v>
      </c>
      <c r="B25" s="454"/>
      <c r="C25" s="288" t="s">
        <v>263</v>
      </c>
      <c r="D25" s="377" t="s">
        <v>262</v>
      </c>
      <c r="E25" s="378" t="s">
        <v>119</v>
      </c>
      <c r="F25" s="388" t="str">
        <f>IF(AND(OR(F27&gt;0,F28&gt;0,F29&gt;0,F30&gt;0,F32&gt;0),E25="si"),"ATTENZIONE!! Non è possibile avere un impianto REG","ok")</f>
        <v>ok</v>
      </c>
      <c r="J25" t="s">
        <v>110</v>
      </c>
      <c r="K25" s="19"/>
      <c r="M25" s="17"/>
    </row>
    <row r="26" spans="1:13" ht="15" customHeight="1" thickBot="1" x14ac:dyDescent="0.25">
      <c r="A26" s="455"/>
      <c r="B26" s="456"/>
      <c r="D26" s="25" t="s">
        <v>102</v>
      </c>
      <c r="E26" s="26" t="s">
        <v>149</v>
      </c>
      <c r="F26" s="26" t="s">
        <v>148</v>
      </c>
      <c r="G26" s="27" t="s">
        <v>179</v>
      </c>
      <c r="H26" s="382" t="s">
        <v>264</v>
      </c>
      <c r="I26" s="26" t="s">
        <v>359</v>
      </c>
      <c r="J26" s="26" t="s">
        <v>360</v>
      </c>
      <c r="K26" s="26" t="s">
        <v>361</v>
      </c>
    </row>
    <row r="27" spans="1:13" ht="14.5" customHeight="1" x14ac:dyDescent="0.2">
      <c r="A27" s="455"/>
      <c r="B27" s="456"/>
      <c r="C27" s="465" t="s">
        <v>256</v>
      </c>
      <c r="D27" s="379" t="s">
        <v>332</v>
      </c>
      <c r="E27" s="481" t="s">
        <v>178</v>
      </c>
      <c r="F27" s="380"/>
      <c r="G27" s="381">
        <f>F27*'Prezzi smart adaptive lighting'!$C$4</f>
        <v>0</v>
      </c>
      <c r="H27" s="478" t="str">
        <f>IF(OR($E$25="si",$F$32&gt;0),"non si può avere un impianto TAI","è possibile avere un impianto TAI")</f>
        <v>è possibile avere un impianto TAI</v>
      </c>
      <c r="I27" s="384" t="s">
        <v>362</v>
      </c>
      <c r="J27" s="436" t="s">
        <v>362</v>
      </c>
      <c r="K27" s="438" t="s">
        <v>362</v>
      </c>
    </row>
    <row r="28" spans="1:13" ht="14.5" customHeight="1" x14ac:dyDescent="0.2">
      <c r="A28" s="455"/>
      <c r="B28" s="456"/>
      <c r="C28" s="466"/>
      <c r="D28" s="189" t="s">
        <v>329</v>
      </c>
      <c r="E28" s="482"/>
      <c r="F28" s="136"/>
      <c r="G28" s="227">
        <f>F28*'Prezzi smart adaptive lighting'!$C$5</f>
        <v>0</v>
      </c>
      <c r="H28" s="479"/>
      <c r="I28" s="401" t="s">
        <v>317</v>
      </c>
      <c r="J28" s="441"/>
      <c r="K28" s="442"/>
    </row>
    <row r="29" spans="1:13" ht="14.5" customHeight="1" x14ac:dyDescent="0.2">
      <c r="A29" s="455"/>
      <c r="B29" s="456"/>
      <c r="C29" s="466"/>
      <c r="D29" s="189" t="s">
        <v>328</v>
      </c>
      <c r="E29" s="482"/>
      <c r="F29" s="136"/>
      <c r="G29" s="227">
        <f>F29*'Prezzi smart adaptive lighting'!$C$5</f>
        <v>0</v>
      </c>
      <c r="H29" s="479"/>
      <c r="I29" s="401" t="s">
        <v>317</v>
      </c>
      <c r="J29" s="401" t="s">
        <v>321</v>
      </c>
      <c r="K29" s="442"/>
    </row>
    <row r="30" spans="1:13" ht="15" customHeight="1" thickBot="1" x14ac:dyDescent="0.25">
      <c r="A30" s="455"/>
      <c r="B30" s="456"/>
      <c r="C30" s="466"/>
      <c r="D30" s="189" t="s">
        <v>330</v>
      </c>
      <c r="E30" s="483"/>
      <c r="F30" s="136"/>
      <c r="G30" s="227">
        <f>F30*'Prezzi smart adaptive lighting'!$C$5</f>
        <v>0</v>
      </c>
      <c r="H30" s="480"/>
      <c r="I30" s="401"/>
      <c r="J30" s="401"/>
      <c r="K30" s="401"/>
    </row>
    <row r="31" spans="1:13" ht="15" customHeight="1" thickBot="1" x14ac:dyDescent="0.25">
      <c r="A31" s="455"/>
      <c r="B31" s="456"/>
      <c r="C31" s="467"/>
      <c r="D31" s="167" t="s">
        <v>349</v>
      </c>
      <c r="E31" s="371" t="str">
        <f>IF(SUM(F27:F30)&gt;=H21,"ok","ATTENZIONE: #sensori &lt; #incocri, procedere comunque?")</f>
        <v>ok</v>
      </c>
      <c r="F31" s="372">
        <f>SUM(F27:F30)</f>
        <v>0</v>
      </c>
      <c r="G31" s="123">
        <f>SUM(G27:G30)</f>
        <v>0</v>
      </c>
      <c r="H31" s="383"/>
      <c r="I31" s="440" t="s">
        <v>362</v>
      </c>
      <c r="J31" s="440"/>
      <c r="K31" s="440"/>
    </row>
    <row r="32" spans="1:13" ht="16" thickBot="1" x14ac:dyDescent="0.25">
      <c r="A32" s="455"/>
      <c r="B32" s="456"/>
      <c r="C32" s="468" t="s">
        <v>255</v>
      </c>
      <c r="D32" s="374" t="s">
        <v>316</v>
      </c>
      <c r="E32" s="365" t="s">
        <v>178</v>
      </c>
      <c r="F32" s="360"/>
      <c r="G32" s="373">
        <f>F32*'Prezzi smart adaptive lighting'!C6</f>
        <v>0</v>
      </c>
      <c r="H32" s="295" t="str">
        <f>IF(OR($E$25="si",F27&gt;0,F28&gt;0,F29&gt;0,F30&gt;0),"non si può avere un impianto FAI","è possibile avere un impianto FAI")</f>
        <v>è possibile avere un impianto FAI</v>
      </c>
      <c r="I32" s="440"/>
      <c r="J32" s="440"/>
      <c r="K32" s="440"/>
    </row>
    <row r="33" spans="1:12" ht="16" thickBot="1" x14ac:dyDescent="0.25">
      <c r="A33" s="457"/>
      <c r="B33" s="458"/>
      <c r="C33" s="469"/>
      <c r="D33" s="167" t="s">
        <v>351</v>
      </c>
      <c r="E33" s="371" t="str">
        <f>IF(F33&gt;=H21,"ok","ATTENZIONE! #sensori &lt; #incroci, procedere comunque?")</f>
        <v>ok</v>
      </c>
      <c r="F33" s="168">
        <f>F32</f>
        <v>0</v>
      </c>
      <c r="G33" s="200">
        <f>G32</f>
        <v>0</v>
      </c>
      <c r="H33" s="385"/>
      <c r="I33" s="440"/>
      <c r="J33" s="440"/>
      <c r="K33" s="440"/>
    </row>
    <row r="34" spans="1:12" ht="21" x14ac:dyDescent="0.2">
      <c r="A34" s="366"/>
      <c r="B34" s="366"/>
      <c r="C34" s="367"/>
      <c r="D34" s="14"/>
      <c r="E34" s="260"/>
      <c r="F34" s="18"/>
      <c r="G34" s="145"/>
      <c r="H34" s="368"/>
      <c r="I34" s="75"/>
      <c r="J34" s="75"/>
    </row>
    <row r="35" spans="1:12" ht="16" thickBot="1" x14ac:dyDescent="0.25"/>
    <row r="36" spans="1:12" ht="17" thickBot="1" x14ac:dyDescent="0.25">
      <c r="D36" s="270" t="s">
        <v>265</v>
      </c>
      <c r="E36" s="18"/>
    </row>
    <row r="37" spans="1:12" ht="16" thickBot="1" x14ac:dyDescent="0.25">
      <c r="D37" s="272" t="s">
        <v>266</v>
      </c>
      <c r="E37" s="262" t="s">
        <v>118</v>
      </c>
    </row>
    <row r="38" spans="1:12" ht="16" thickBot="1" x14ac:dyDescent="0.25">
      <c r="D38" s="12" t="s">
        <v>276</v>
      </c>
      <c r="E38" s="12"/>
    </row>
    <row r="39" spans="1:12" ht="16" thickBot="1" x14ac:dyDescent="0.25">
      <c r="D39" s="293" t="str">
        <f>IF(E37="si","Qual è il costo TOTALE del software di telegestione presente?","NON COMPILARE QUESTO CAMPO")</f>
        <v>Qual è il costo TOTALE del software di telegestione presente?</v>
      </c>
      <c r="E39" s="294"/>
    </row>
    <row r="40" spans="1:12" x14ac:dyDescent="0.2">
      <c r="D40" s="14"/>
      <c r="E40" s="18"/>
    </row>
    <row r="41" spans="1:12" ht="16" thickBot="1" x14ac:dyDescent="0.25">
      <c r="D41" s="77" t="s">
        <v>261</v>
      </c>
      <c r="H41" t="s">
        <v>110</v>
      </c>
    </row>
    <row r="42" spans="1:12" ht="16" thickBot="1" x14ac:dyDescent="0.25">
      <c r="B42" s="12"/>
      <c r="D42" s="390" t="s">
        <v>337</v>
      </c>
      <c r="E42" s="149" t="s">
        <v>102</v>
      </c>
      <c r="F42" s="185" t="s">
        <v>149</v>
      </c>
      <c r="G42" s="185" t="s">
        <v>148</v>
      </c>
      <c r="H42" s="186" t="s">
        <v>179</v>
      </c>
      <c r="I42" s="26" t="s">
        <v>359</v>
      </c>
      <c r="J42" s="26" t="s">
        <v>360</v>
      </c>
      <c r="K42" s="26" t="s">
        <v>361</v>
      </c>
    </row>
    <row r="43" spans="1:12" ht="25" thickBot="1" x14ac:dyDescent="0.25">
      <c r="A43" s="459" t="s">
        <v>309</v>
      </c>
      <c r="B43" s="460"/>
      <c r="C43" s="484" t="s">
        <v>257</v>
      </c>
      <c r="D43" s="391" t="s">
        <v>228</v>
      </c>
      <c r="E43" s="392" t="s">
        <v>364</v>
      </c>
      <c r="F43" s="410" t="s">
        <v>363</v>
      </c>
      <c r="G43" s="136" t="s">
        <v>119</v>
      </c>
      <c r="H43" s="396"/>
      <c r="I43" s="438" t="s">
        <v>362</v>
      </c>
      <c r="J43" s="436" t="s">
        <v>362</v>
      </c>
      <c r="K43" s="438" t="s">
        <v>362</v>
      </c>
    </row>
    <row r="44" spans="1:12" ht="14.5" customHeight="1" x14ac:dyDescent="0.2">
      <c r="A44" s="461"/>
      <c r="B44" s="462"/>
      <c r="C44" s="485"/>
      <c r="D44" s="450" t="s">
        <v>336</v>
      </c>
      <c r="E44" s="379" t="s">
        <v>332</v>
      </c>
      <c r="F44" s="482" t="s">
        <v>178</v>
      </c>
      <c r="G44" s="380"/>
      <c r="H44" s="397">
        <f>G44*'Prezzi smart adaptive lighting'!$C$4</f>
        <v>0</v>
      </c>
      <c r="I44" s="439"/>
      <c r="J44" s="437"/>
      <c r="K44" s="439"/>
      <c r="L44" s="256" t="s">
        <v>259</v>
      </c>
    </row>
    <row r="45" spans="1:12" ht="14.5" customHeight="1" x14ac:dyDescent="0.2">
      <c r="A45" s="461"/>
      <c r="B45" s="462"/>
      <c r="C45" s="485"/>
      <c r="D45" s="451"/>
      <c r="E45" s="189" t="s">
        <v>329</v>
      </c>
      <c r="F45" s="482"/>
      <c r="G45" s="136"/>
      <c r="H45" s="267">
        <f>G45*'Prezzi smart adaptive lighting'!$C$5</f>
        <v>0</v>
      </c>
      <c r="I45" s="402"/>
      <c r="J45" s="437"/>
      <c r="K45" s="439"/>
      <c r="L45" s="256" t="s">
        <v>259</v>
      </c>
    </row>
    <row r="46" spans="1:12" ht="14.5" customHeight="1" x14ac:dyDescent="0.2">
      <c r="A46" s="461"/>
      <c r="B46" s="462"/>
      <c r="C46" s="485"/>
      <c r="D46" s="451"/>
      <c r="E46" s="189" t="s">
        <v>328</v>
      </c>
      <c r="F46" s="482"/>
      <c r="G46" s="136"/>
      <c r="H46" s="267">
        <f>G46*'Prezzi smart adaptive lighting'!$C$5</f>
        <v>0</v>
      </c>
      <c r="I46" s="402"/>
      <c r="J46" s="404"/>
      <c r="K46" s="439"/>
      <c r="L46" s="256" t="s">
        <v>259</v>
      </c>
    </row>
    <row r="47" spans="1:12" ht="15" customHeight="1" thickBot="1" x14ac:dyDescent="0.25">
      <c r="A47" s="461"/>
      <c r="B47" s="462"/>
      <c r="C47" s="485"/>
      <c r="D47" s="452"/>
      <c r="E47" s="189" t="s">
        <v>330</v>
      </c>
      <c r="F47" s="487"/>
      <c r="G47" s="136"/>
      <c r="H47" s="227">
        <f>G47*'Prezzi smart adaptive lighting'!$C$5</f>
        <v>0</v>
      </c>
      <c r="I47" s="403"/>
      <c r="J47" s="405"/>
      <c r="K47" s="406"/>
      <c r="L47" s="256" t="s">
        <v>259</v>
      </c>
    </row>
    <row r="48" spans="1:12" ht="14.5" customHeight="1" x14ac:dyDescent="0.2">
      <c r="A48" s="461"/>
      <c r="B48" s="462"/>
      <c r="C48" s="485"/>
      <c r="D48" s="450" t="s">
        <v>338</v>
      </c>
      <c r="E48" s="189" t="s">
        <v>195</v>
      </c>
      <c r="F48" s="187" t="s">
        <v>234</v>
      </c>
      <c r="G48" s="136"/>
      <c r="H48" s="228">
        <f>G48*'Prezzi servizi "smart"'!$C$17</f>
        <v>0</v>
      </c>
      <c r="I48" s="395"/>
      <c r="J48" s="395"/>
      <c r="K48" s="395"/>
    </row>
    <row r="49" spans="1:11" ht="30" x14ac:dyDescent="0.2">
      <c r="A49" s="461"/>
      <c r="B49" s="462"/>
      <c r="C49" s="485"/>
      <c r="D49" s="451"/>
      <c r="E49" s="196" t="s">
        <v>331</v>
      </c>
      <c r="F49" s="197" t="s">
        <v>235</v>
      </c>
      <c r="G49" s="136"/>
      <c r="H49" s="229">
        <f>G49*'Prezzi servizi "smart"'!$C$18</f>
        <v>0</v>
      </c>
      <c r="I49" s="395"/>
      <c r="J49" s="395"/>
      <c r="K49" s="395"/>
    </row>
    <row r="50" spans="1:11" ht="15" customHeight="1" thickBot="1" x14ac:dyDescent="0.25">
      <c r="A50" s="461"/>
      <c r="B50" s="462"/>
      <c r="C50" s="485"/>
      <c r="D50" s="452"/>
      <c r="E50" s="191" t="s">
        <v>192</v>
      </c>
      <c r="F50" s="187" t="s">
        <v>236</v>
      </c>
      <c r="G50" s="136"/>
      <c r="H50" s="228">
        <f>G50*'Prezzi servizi "smart"'!$C$19</f>
        <v>0</v>
      </c>
      <c r="I50" s="398"/>
      <c r="J50" s="383"/>
      <c r="K50" s="383"/>
    </row>
    <row r="51" spans="1:11" ht="14.5" customHeight="1" x14ac:dyDescent="0.2">
      <c r="A51" s="461"/>
      <c r="B51" s="462"/>
      <c r="C51" s="485"/>
      <c r="D51" s="450" t="s">
        <v>339</v>
      </c>
      <c r="E51" s="189" t="s">
        <v>333</v>
      </c>
      <c r="F51" s="488" t="s">
        <v>237</v>
      </c>
      <c r="G51" s="136"/>
      <c r="H51" s="228">
        <f>G51*'Prezzi servizi "smart"'!$C$25</f>
        <v>0</v>
      </c>
      <c r="I51" s="399"/>
      <c r="J51" s="383"/>
      <c r="K51" s="383"/>
    </row>
    <row r="52" spans="1:11" ht="14.5" customHeight="1" x14ac:dyDescent="0.2">
      <c r="A52" s="461"/>
      <c r="B52" s="462"/>
      <c r="C52" s="485"/>
      <c r="D52" s="451"/>
      <c r="E52" s="189" t="s">
        <v>186</v>
      </c>
      <c r="F52" s="489"/>
      <c r="G52" s="136"/>
      <c r="H52" s="228">
        <f>'Prezzi servizi "smart"'!$C$26*Autofinanziamento!G52</f>
        <v>0</v>
      </c>
      <c r="I52" s="399"/>
      <c r="J52" s="383"/>
      <c r="K52" s="383"/>
    </row>
    <row r="53" spans="1:11" ht="15" customHeight="1" thickBot="1" x14ac:dyDescent="0.25">
      <c r="A53" s="461"/>
      <c r="B53" s="462"/>
      <c r="C53" s="485"/>
      <c r="D53" s="452"/>
      <c r="E53" s="191" t="s">
        <v>334</v>
      </c>
      <c r="F53" s="490"/>
      <c r="G53" s="136"/>
      <c r="H53" s="228">
        <f>G53*'Prezzi servizi "smart"'!$C$27</f>
        <v>0</v>
      </c>
      <c r="I53" s="399"/>
      <c r="J53" s="383"/>
      <c r="K53" s="383"/>
    </row>
    <row r="54" spans="1:11" ht="24" customHeight="1" thickBot="1" x14ac:dyDescent="0.25">
      <c r="A54" s="461"/>
      <c r="B54" s="462"/>
      <c r="C54" s="485"/>
      <c r="D54" s="348" t="s">
        <v>340</v>
      </c>
      <c r="E54" s="196" t="s">
        <v>335</v>
      </c>
      <c r="F54" s="353" t="s">
        <v>275</v>
      </c>
      <c r="G54" s="136"/>
      <c r="H54" s="328">
        <f>G54*'Prezzi servizi "smart"'!$H$11</f>
        <v>0</v>
      </c>
      <c r="I54" s="399"/>
      <c r="J54" s="383"/>
      <c r="K54" s="383"/>
    </row>
    <row r="55" spans="1:11" ht="14.5" customHeight="1" x14ac:dyDescent="0.2">
      <c r="A55" s="461"/>
      <c r="B55" s="462"/>
      <c r="C55" s="485"/>
      <c r="D55" s="450" t="s">
        <v>341</v>
      </c>
      <c r="E55" s="189" t="s">
        <v>208</v>
      </c>
      <c r="F55" s="331" t="s">
        <v>238</v>
      </c>
      <c r="G55" s="136"/>
      <c r="H55" s="228">
        <f>G55*'Prezzi servizi "smart"'!$C$33</f>
        <v>0</v>
      </c>
      <c r="I55" s="399"/>
      <c r="J55" s="383"/>
      <c r="K55" s="383"/>
    </row>
    <row r="56" spans="1:11" ht="15" customHeight="1" thickBot="1" x14ac:dyDescent="0.25">
      <c r="A56" s="461"/>
      <c r="B56" s="462"/>
      <c r="C56" s="486"/>
      <c r="D56" s="452"/>
      <c r="E56" s="189" t="s">
        <v>200</v>
      </c>
      <c r="F56" s="204" t="s">
        <v>239</v>
      </c>
      <c r="G56" s="136"/>
      <c r="H56" s="228">
        <f>G56*'Prezzi servizi "smart"'!$C$27</f>
        <v>0</v>
      </c>
      <c r="I56" s="399"/>
      <c r="J56" s="383"/>
      <c r="K56" s="383"/>
    </row>
    <row r="57" spans="1:11" ht="15" customHeight="1" thickBot="1" x14ac:dyDescent="0.25">
      <c r="A57" s="461"/>
      <c r="B57" s="462"/>
      <c r="C57" s="337"/>
      <c r="E57" s="323" t="s">
        <v>115</v>
      </c>
      <c r="F57" s="324"/>
      <c r="G57" s="325">
        <f>SUM(G44:G56)</f>
        <v>0</v>
      </c>
      <c r="H57" s="326">
        <f>SUM(H44:H56)</f>
        <v>0</v>
      </c>
      <c r="I57" s="399"/>
      <c r="J57" s="383"/>
      <c r="K57" s="383"/>
    </row>
    <row r="58" spans="1:11" ht="14.5" customHeight="1" thickBot="1" x14ac:dyDescent="0.25">
      <c r="A58" s="461"/>
      <c r="B58" s="462"/>
      <c r="C58" s="337"/>
      <c r="D58" s="12"/>
      <c r="I58" s="18"/>
    </row>
    <row r="59" spans="1:11" ht="15" customHeight="1" thickBot="1" x14ac:dyDescent="0.25">
      <c r="A59" s="461"/>
      <c r="B59" s="462"/>
      <c r="C59" s="337"/>
      <c r="D59" s="12"/>
      <c r="E59" s="25" t="s">
        <v>102</v>
      </c>
      <c r="F59" s="26" t="s">
        <v>149</v>
      </c>
      <c r="G59" s="26" t="s">
        <v>148</v>
      </c>
      <c r="H59" s="27" t="s">
        <v>179</v>
      </c>
      <c r="I59" s="18"/>
    </row>
    <row r="60" spans="1:11" ht="24" customHeight="1" thickBot="1" x14ac:dyDescent="0.25">
      <c r="A60" s="461"/>
      <c r="B60" s="462"/>
      <c r="C60" s="474" t="s">
        <v>258</v>
      </c>
      <c r="D60" s="336" t="s">
        <v>340</v>
      </c>
      <c r="E60" s="181" t="s">
        <v>314</v>
      </c>
      <c r="F60" s="353" t="s">
        <v>275</v>
      </c>
      <c r="G60" s="116"/>
      <c r="H60" s="231">
        <f>G60*'Prezzi servizi "smart"'!$H$12</f>
        <v>0</v>
      </c>
      <c r="I60" s="127"/>
    </row>
    <row r="61" spans="1:11" ht="24" customHeight="1" thickBot="1" x14ac:dyDescent="0.25">
      <c r="A61" s="461"/>
      <c r="B61" s="462"/>
      <c r="C61" s="475"/>
      <c r="D61" s="336" t="s">
        <v>344</v>
      </c>
      <c r="E61" s="180" t="s">
        <v>187</v>
      </c>
      <c r="F61" s="354" t="s">
        <v>242</v>
      </c>
      <c r="G61" s="116"/>
      <c r="H61" s="232">
        <f>G61*'Prezzi servizi "smart"'!$H$17</f>
        <v>0</v>
      </c>
      <c r="I61" s="18"/>
    </row>
    <row r="62" spans="1:11" ht="14.5" customHeight="1" thickBot="1" x14ac:dyDescent="0.25">
      <c r="A62" s="461"/>
      <c r="B62" s="462"/>
      <c r="C62" s="343"/>
      <c r="E62" s="167" t="s">
        <v>115</v>
      </c>
      <c r="F62" s="183"/>
      <c r="G62" s="168">
        <f>SUM(G60:G61)</f>
        <v>0</v>
      </c>
      <c r="H62" s="200">
        <f>SUM(H60:H61)</f>
        <v>0</v>
      </c>
      <c r="I62" s="18"/>
    </row>
    <row r="63" spans="1:11" ht="15" customHeight="1" thickBot="1" x14ac:dyDescent="0.25">
      <c r="A63" s="461"/>
      <c r="B63" s="462"/>
      <c r="C63" s="342"/>
      <c r="I63" s="18"/>
    </row>
    <row r="64" spans="1:11" ht="15" customHeight="1" thickBot="1" x14ac:dyDescent="0.25">
      <c r="A64" s="461"/>
      <c r="B64" s="462"/>
      <c r="C64" s="342"/>
      <c r="E64" s="26" t="s">
        <v>102</v>
      </c>
      <c r="F64" s="26" t="s">
        <v>149</v>
      </c>
      <c r="G64" s="26" t="s">
        <v>148</v>
      </c>
      <c r="H64" s="27" t="s">
        <v>179</v>
      </c>
      <c r="I64" s="18"/>
    </row>
    <row r="65" spans="1:14" ht="15.5" customHeight="1" x14ac:dyDescent="0.2">
      <c r="A65" s="461"/>
      <c r="B65" s="462"/>
      <c r="C65" s="474" t="s">
        <v>342</v>
      </c>
      <c r="D65" s="476" t="s">
        <v>343</v>
      </c>
      <c r="E65" s="279" t="s">
        <v>193</v>
      </c>
      <c r="F65" s="204" t="s">
        <v>240</v>
      </c>
      <c r="G65" s="136"/>
      <c r="H65" s="340">
        <f>G65*'Prezzi servizi "smart"'!$H$4</f>
        <v>0</v>
      </c>
    </row>
    <row r="66" spans="1:14" ht="15" customHeight="1" thickBot="1" x14ac:dyDescent="0.25">
      <c r="A66" s="463"/>
      <c r="B66" s="464"/>
      <c r="C66" s="475"/>
      <c r="D66" s="477"/>
      <c r="E66" s="279" t="s">
        <v>194</v>
      </c>
      <c r="F66" s="187" t="s">
        <v>236</v>
      </c>
      <c r="G66" s="136"/>
      <c r="H66" s="340">
        <f>G66*'Prezzi servizi "smart"'!$H$5</f>
        <v>0</v>
      </c>
    </row>
    <row r="67" spans="1:14" ht="16" thickBot="1" x14ac:dyDescent="0.25">
      <c r="E67" s="167" t="s">
        <v>115</v>
      </c>
      <c r="F67" s="183"/>
      <c r="G67" s="168">
        <f>SUM(G65:G66)</f>
        <v>0</v>
      </c>
      <c r="H67" s="200">
        <f>SUM(H65:H66)</f>
        <v>0</v>
      </c>
    </row>
    <row r="68" spans="1:14" x14ac:dyDescent="0.2">
      <c r="E68" s="14"/>
      <c r="F68" s="338"/>
      <c r="G68" s="341"/>
      <c r="H68" s="339"/>
    </row>
    <row r="70" spans="1:14" x14ac:dyDescent="0.2">
      <c r="C70" s="298" t="s">
        <v>22</v>
      </c>
      <c r="D70" s="299"/>
      <c r="E70" s="18"/>
      <c r="F70" s="18"/>
      <c r="G70" s="18"/>
      <c r="H70" s="18"/>
      <c r="I70" s="18"/>
      <c r="J70" s="18"/>
    </row>
    <row r="71" spans="1:14" x14ac:dyDescent="0.2">
      <c r="C71" s="178" t="s">
        <v>25</v>
      </c>
      <c r="D71" s="184">
        <f>K21</f>
        <v>0</v>
      </c>
      <c r="J71" s="86"/>
      <c r="K71" s="86"/>
      <c r="L71" s="86"/>
      <c r="M71" s="86"/>
      <c r="N71" s="86"/>
    </row>
    <row r="72" spans="1:14" x14ac:dyDescent="0.2">
      <c r="C72" s="175" t="s">
        <v>24</v>
      </c>
      <c r="D72" s="182">
        <f>L21</f>
        <v>0</v>
      </c>
      <c r="J72" s="86"/>
      <c r="K72" s="96"/>
      <c r="L72" s="96"/>
      <c r="M72" s="96"/>
      <c r="N72" s="95"/>
    </row>
    <row r="73" spans="1:14" x14ac:dyDescent="0.2">
      <c r="C73" s="175" t="s">
        <v>293</v>
      </c>
      <c r="D73" s="182">
        <f>SUM(F27:F30)</f>
        <v>0</v>
      </c>
      <c r="I73" s="86"/>
      <c r="J73" s="95"/>
      <c r="K73" s="95"/>
      <c r="L73" s="95"/>
      <c r="M73" s="95"/>
    </row>
    <row r="74" spans="1:14" x14ac:dyDescent="0.2">
      <c r="C74" s="175" t="s">
        <v>327</v>
      </c>
      <c r="D74" s="182">
        <f>F32</f>
        <v>0</v>
      </c>
      <c r="I74" s="86"/>
      <c r="J74" s="95"/>
      <c r="K74" s="95"/>
      <c r="L74" s="95"/>
      <c r="M74" s="95"/>
    </row>
    <row r="75" spans="1:14" x14ac:dyDescent="0.2">
      <c r="C75" s="16" t="s">
        <v>226</v>
      </c>
      <c r="D75" s="182">
        <f>IF(G43="si",L21,0)</f>
        <v>0</v>
      </c>
      <c r="I75" s="86"/>
      <c r="J75" s="95"/>
      <c r="K75" s="95"/>
      <c r="L75" s="95"/>
      <c r="M75" s="95"/>
    </row>
    <row r="76" spans="1:14" x14ac:dyDescent="0.2">
      <c r="C76" s="175" t="s">
        <v>294</v>
      </c>
      <c r="D76" s="182">
        <f>SUM(G44:G47)</f>
        <v>0</v>
      </c>
      <c r="I76" s="91"/>
      <c r="J76" s="88"/>
      <c r="K76" s="87"/>
      <c r="L76" s="87"/>
      <c r="M76" s="95"/>
    </row>
    <row r="77" spans="1:14" x14ac:dyDescent="0.2">
      <c r="C77" s="16" t="s">
        <v>216</v>
      </c>
      <c r="D77" s="182">
        <f>G48+G49</f>
        <v>0</v>
      </c>
      <c r="I77" s="89"/>
      <c r="J77" s="89"/>
      <c r="K77" s="89"/>
      <c r="L77" s="89"/>
      <c r="M77" s="95"/>
    </row>
    <row r="78" spans="1:14" x14ac:dyDescent="0.2">
      <c r="C78" s="16" t="s">
        <v>218</v>
      </c>
      <c r="D78" s="182">
        <f>G50</f>
        <v>0</v>
      </c>
      <c r="I78" s="90"/>
      <c r="J78" s="96"/>
      <c r="K78" s="96"/>
      <c r="L78" s="90"/>
      <c r="M78" s="95"/>
    </row>
    <row r="79" spans="1:14" x14ac:dyDescent="0.2">
      <c r="C79" s="16" t="s">
        <v>211</v>
      </c>
      <c r="D79" s="182">
        <f>SUM(G51:G53)</f>
        <v>0</v>
      </c>
      <c r="I79" s="90"/>
      <c r="J79" s="95"/>
      <c r="K79" s="95"/>
      <c r="L79" s="90"/>
      <c r="M79" s="95"/>
    </row>
    <row r="80" spans="1:14" x14ac:dyDescent="0.2">
      <c r="C80" s="16" t="s">
        <v>212</v>
      </c>
      <c r="D80" s="182">
        <f>G55</f>
        <v>0</v>
      </c>
      <c r="I80" s="90"/>
      <c r="J80" s="95"/>
      <c r="K80" s="95"/>
      <c r="L80" s="90"/>
      <c r="M80" s="95"/>
    </row>
    <row r="81" spans="3:13" x14ac:dyDescent="0.2">
      <c r="C81" s="16" t="s">
        <v>213</v>
      </c>
      <c r="D81" s="182">
        <f>G56</f>
        <v>0</v>
      </c>
      <c r="F81" s="446" t="s">
        <v>280</v>
      </c>
      <c r="G81" s="447"/>
      <c r="I81" s="90"/>
      <c r="J81" s="95"/>
      <c r="K81" s="95"/>
      <c r="L81" s="90"/>
      <c r="M81" s="95"/>
    </row>
    <row r="82" spans="3:13" x14ac:dyDescent="0.2">
      <c r="C82" s="16" t="s">
        <v>210</v>
      </c>
      <c r="D82" s="182">
        <f>G65</f>
        <v>0</v>
      </c>
      <c r="I82" s="90"/>
      <c r="J82" s="90"/>
      <c r="K82" s="90"/>
      <c r="L82" s="90"/>
      <c r="M82" s="86"/>
    </row>
    <row r="83" spans="3:13" x14ac:dyDescent="0.2">
      <c r="C83" s="16" t="s">
        <v>326</v>
      </c>
      <c r="D83" s="182">
        <f>G60+G54</f>
        <v>0</v>
      </c>
      <c r="F83" s="472" t="s">
        <v>122</v>
      </c>
      <c r="G83" s="473"/>
      <c r="I83" s="90"/>
      <c r="J83" s="90"/>
      <c r="K83" s="90"/>
      <c r="L83" s="90"/>
      <c r="M83" s="86"/>
    </row>
    <row r="84" spans="3:13" x14ac:dyDescent="0.2">
      <c r="C84" s="175" t="s">
        <v>217</v>
      </c>
      <c r="D84" s="182">
        <f>G61</f>
        <v>0</v>
      </c>
      <c r="F84" s="20" t="s">
        <v>111</v>
      </c>
      <c r="G84" s="119" t="s">
        <v>119</v>
      </c>
      <c r="I84" s="19"/>
      <c r="J84" s="19"/>
      <c r="K84" s="19"/>
      <c r="L84" s="19"/>
    </row>
    <row r="85" spans="3:13" x14ac:dyDescent="0.2">
      <c r="C85" s="179" t="s">
        <v>214</v>
      </c>
      <c r="D85" s="4">
        <f>G66</f>
        <v>0</v>
      </c>
      <c r="F85" s="22" t="s">
        <v>137</v>
      </c>
      <c r="G85" s="125">
        <f>G86*(1-G88)</f>
        <v>0</v>
      </c>
      <c r="I85" s="19"/>
      <c r="J85" s="19"/>
      <c r="K85" s="19"/>
      <c r="L85" s="19"/>
    </row>
    <row r="86" spans="3:13" x14ac:dyDescent="0.2">
      <c r="F86" s="1" t="s">
        <v>135</v>
      </c>
      <c r="G86" s="79">
        <f>'Prezzi smart adaptive lighting'!F15*D71</f>
        <v>0</v>
      </c>
      <c r="I86" s="19"/>
      <c r="J86" s="19"/>
      <c r="K86" s="19"/>
      <c r="L86" s="19"/>
    </row>
    <row r="87" spans="3:13" x14ac:dyDescent="0.2">
      <c r="C87" s="296" t="s">
        <v>18</v>
      </c>
      <c r="D87" s="297"/>
      <c r="F87" s="302" t="s">
        <v>277</v>
      </c>
      <c r="G87" s="303">
        <f>G86-G85</f>
        <v>0</v>
      </c>
      <c r="I87" s="19"/>
      <c r="J87" s="19"/>
      <c r="K87" s="19"/>
      <c r="L87" s="19"/>
    </row>
    <row r="88" spans="3:13" x14ac:dyDescent="0.2">
      <c r="C88" s="20" t="s">
        <v>20</v>
      </c>
      <c r="D88" s="387">
        <f>'Prezzi smart adaptive lighting'!$F$19*(Autofinanziamento!D71)+F27*'Prezzi smart adaptive lighting'!F20+SUM(Autofinanziamento!F28:F30)*'Prezzi smart adaptive lighting'!F21+Autofinanziamento!D74*'Prezzi smart adaptive lighting'!F22+G44*'Prezzi servizi "smart"'!$D$9+SUM(G45:G47)*'Prezzi servizi "smart"'!$D$10+Autofinanziamento!G49*'Prezzi servizi "smart"'!$D$18+Autofinanziamento!G48*'Prezzi servizi "smart"'!$D$17+Autofinanziamento!D78*'Prezzi servizi "smart"'!$D$19+G51*'Prezzi servizi "smart"'!$D$25+G52*'Prezzi servizi "smart"'!$D$26+G53*'Prezzi servizi "smart"'!$D$27+Autofinanziamento!D80*'Prezzi servizi "smart"'!$D$33+Autofinanziamento!D81*'Prezzi servizi "smart"'!$D$34+Autofinanziamento!D82*'Prezzi servizi "smart"'!$I$4+Autofinanziamento!G54*'Prezzi servizi "smart"'!$I$11+Autofinanziamento!G60*'Prezzi servizi "smart"'!$I$12+Autofinanziamento!D84*'Prezzi servizi "smart"'!$I$17+Autofinanziamento!D85*'Prezzi servizi "smart"'!$I$5</f>
        <v>0</v>
      </c>
      <c r="F88" s="22" t="s">
        <v>21</v>
      </c>
      <c r="G88" s="120">
        <f>IF(E25="si",10%,IF(OR(F27&gt;0,F28&gt;0,F29&gt;0,F30&gt;0,F32&gt;0),10%,0))</f>
        <v>0</v>
      </c>
      <c r="I88" s="19"/>
      <c r="J88" s="19"/>
      <c r="K88" s="19"/>
      <c r="L88" s="19"/>
    </row>
    <row r="89" spans="3:13" x14ac:dyDescent="0.2">
      <c r="C89" s="1" t="s">
        <v>125</v>
      </c>
      <c r="D89" s="104">
        <f>D71*'Prezzi smart adaptive lighting'!F4</f>
        <v>0</v>
      </c>
      <c r="I89" s="19"/>
      <c r="J89" s="19"/>
      <c r="K89" s="19"/>
      <c r="L89" s="19"/>
    </row>
    <row r="90" spans="3:13" x14ac:dyDescent="0.2">
      <c r="C90" s="93" t="s">
        <v>127</v>
      </c>
      <c r="D90" s="104">
        <f>D72*'Prezzi smart adaptive lighting'!F5</f>
        <v>0</v>
      </c>
      <c r="F90" s="472" t="s">
        <v>23</v>
      </c>
      <c r="G90" s="473"/>
      <c r="H90" s="18"/>
      <c r="I90" s="18"/>
      <c r="J90" s="18"/>
      <c r="K90" s="18"/>
      <c r="L90" s="18"/>
    </row>
    <row r="91" spans="3:13" x14ac:dyDescent="0.2">
      <c r="C91" s="93" t="s">
        <v>295</v>
      </c>
      <c r="D91" s="376">
        <f>SUM(G26:G29)</f>
        <v>0</v>
      </c>
      <c r="F91" s="20" t="s">
        <v>117</v>
      </c>
      <c r="G91" s="97">
        <v>0.14000000000000001</v>
      </c>
    </row>
    <row r="92" spans="3:13" x14ac:dyDescent="0.2">
      <c r="C92" s="93" t="s">
        <v>322</v>
      </c>
      <c r="D92" s="182">
        <f>F32</f>
        <v>0</v>
      </c>
      <c r="F92" s="22" t="s">
        <v>129</v>
      </c>
      <c r="G92" s="308">
        <f>G93*(1+G95)</f>
        <v>0</v>
      </c>
    </row>
    <row r="93" spans="3:13" x14ac:dyDescent="0.2">
      <c r="C93" s="76" t="s">
        <v>227</v>
      </c>
      <c r="D93" s="194">
        <f>IF(G43="si",D75*'Prezzi servizi "smart"'!C4,0)</f>
        <v>0</v>
      </c>
      <c r="F93" s="21" t="s">
        <v>130</v>
      </c>
      <c r="G93" s="309">
        <f>SUMPRODUCT(D6:D20,E6:E20,G6:G20)</f>
        <v>0</v>
      </c>
    </row>
    <row r="94" spans="3:13" x14ac:dyDescent="0.2">
      <c r="C94" s="93" t="s">
        <v>296</v>
      </c>
      <c r="D94" s="104">
        <f>SUM(H44:H47)</f>
        <v>0</v>
      </c>
      <c r="F94" s="82" t="s">
        <v>284</v>
      </c>
      <c r="G94" s="301">
        <f>(G93-G92)*G91</f>
        <v>0</v>
      </c>
    </row>
    <row r="95" spans="3:13" x14ac:dyDescent="0.2">
      <c r="C95" s="76" t="s">
        <v>219</v>
      </c>
      <c r="D95" s="79">
        <f>H48+H49</f>
        <v>0</v>
      </c>
      <c r="F95" s="22" t="s">
        <v>21</v>
      </c>
      <c r="G95" s="80">
        <f>IF(E25="si",-30%,IF(OR(F27&gt;0,F28&gt;0,F29&gt;0,F30&gt;0),-40%,IF(F32&gt;0,-50%,0)))</f>
        <v>0</v>
      </c>
    </row>
    <row r="96" spans="3:13" x14ac:dyDescent="0.2">
      <c r="C96" s="76" t="s">
        <v>220</v>
      </c>
      <c r="D96" s="79">
        <f>H50</f>
        <v>0</v>
      </c>
    </row>
    <row r="97" spans="3:8" x14ac:dyDescent="0.2">
      <c r="C97" s="76" t="s">
        <v>221</v>
      </c>
      <c r="D97" s="79">
        <f>SUM(H51:H53)</f>
        <v>0</v>
      </c>
      <c r="F97" s="470" t="s">
        <v>281</v>
      </c>
      <c r="G97" s="471"/>
      <c r="H97" s="94"/>
    </row>
    <row r="98" spans="3:8" x14ac:dyDescent="0.2">
      <c r="C98" s="76" t="s">
        <v>222</v>
      </c>
      <c r="D98" s="79">
        <f>H55</f>
        <v>0</v>
      </c>
      <c r="F98" s="74" t="s">
        <v>282</v>
      </c>
      <c r="G98" s="301">
        <v>5.1346022727272684</v>
      </c>
      <c r="H98" s="94"/>
    </row>
    <row r="99" spans="3:8" x14ac:dyDescent="0.2">
      <c r="C99" s="76" t="s">
        <v>223</v>
      </c>
      <c r="D99" s="79">
        <f>H56</f>
        <v>0</v>
      </c>
      <c r="F99" s="82" t="s">
        <v>283</v>
      </c>
      <c r="G99" s="172">
        <f>(G93-G92)</f>
        <v>0</v>
      </c>
      <c r="H99" s="159"/>
    </row>
    <row r="100" spans="3:8" x14ac:dyDescent="0.2">
      <c r="C100" s="76" t="s">
        <v>307</v>
      </c>
      <c r="D100" s="79">
        <f>H65</f>
        <v>0</v>
      </c>
      <c r="F100" s="82" t="s">
        <v>285</v>
      </c>
      <c r="G100" s="172">
        <v>0.38500000000000001</v>
      </c>
      <c r="H100" s="160"/>
    </row>
    <row r="101" spans="3:8" x14ac:dyDescent="0.2">
      <c r="C101" s="76" t="s">
        <v>325</v>
      </c>
      <c r="D101" s="79">
        <f>H60+H54</f>
        <v>0</v>
      </c>
      <c r="F101" s="22" t="s">
        <v>286</v>
      </c>
      <c r="G101" s="310">
        <f>G99*G100*G98/1000</f>
        <v>0</v>
      </c>
      <c r="H101" s="17"/>
    </row>
    <row r="102" spans="3:8" x14ac:dyDescent="0.2">
      <c r="C102" s="76" t="s">
        <v>224</v>
      </c>
      <c r="D102" s="79">
        <f>H61</f>
        <v>0</v>
      </c>
      <c r="H102" s="161"/>
    </row>
    <row r="103" spans="3:8" x14ac:dyDescent="0.2">
      <c r="C103" s="76" t="s">
        <v>225</v>
      </c>
      <c r="D103" s="79">
        <f>H66</f>
        <v>0</v>
      </c>
      <c r="H103" s="161"/>
    </row>
    <row r="104" spans="3:8" x14ac:dyDescent="0.2">
      <c r="C104" s="76" t="s">
        <v>231</v>
      </c>
      <c r="D104" s="79">
        <f>IF(G43="si",D71*'Prezzi servizi "smart"'!D4,0)</f>
        <v>0</v>
      </c>
      <c r="F104" s="472" t="s">
        <v>123</v>
      </c>
      <c r="G104" s="473"/>
      <c r="H104" s="162"/>
    </row>
    <row r="105" spans="3:8" x14ac:dyDescent="0.2">
      <c r="C105" s="93" t="s">
        <v>323</v>
      </c>
      <c r="D105" s="194">
        <f>(F28)*(IF(Autofinanziamento!I28='Prezzi smart adaptive lighting'!B16,'Prezzi smart adaptive lighting'!C16,IF(Autofinanziamento!I28='Prezzi smart adaptive lighting'!B17,'Prezzi smart adaptive lighting'!C17,IF(Autofinanziamento!I28='Prezzi smart adaptive lighting'!B18,'Prezzi smart adaptive lighting'!C18,IF(Autofinanziamento!I28='Prezzi smart adaptive lighting'!B19,'Prezzi smart adaptive lighting'!C19,'Prezzi smart adaptive lighting'!C20)))))+(F29)*(IF(Autofinanziamento!I29='Prezzi smart adaptive lighting'!B16,'Prezzi smart adaptive lighting'!C16,IF(Autofinanziamento!I29='Prezzi smart adaptive lighting'!B17,'Prezzi smart adaptive lighting'!C17,IF(Autofinanziamento!I29='Prezzi smart adaptive lighting'!B18,'Prezzi smart adaptive lighting'!C18,IF(Autofinanziamento!I29='Prezzi smart adaptive lighting'!B19,'Prezzi smart adaptive lighting'!C19,'Prezzi smart adaptive lighting'!C20)))))+(F29)*(IF(Autofinanziamento!J29='Prezzi smart adaptive lighting'!B16,'Prezzi smart adaptive lighting'!C16,IF(Autofinanziamento!J29='Prezzi smart adaptive lighting'!B17,'Prezzi smart adaptive lighting'!C17,IF(Autofinanziamento!J29='Prezzi smart adaptive lighting'!B18,'Prezzi smart adaptive lighting'!C18,IF(Autofinanziamento!J29='Prezzi smart adaptive lighting'!B19,'Prezzi smart adaptive lighting'!C19,'Prezzi smart adaptive lighting'!C20)))))+(F30)*(IF(Autofinanziamento!I30='Prezzi smart adaptive lighting'!B16,'Prezzi smart adaptive lighting'!C16,IF(Autofinanziamento!I30='Prezzi smart adaptive lighting'!B17,'Prezzi smart adaptive lighting'!C17,IF(Autofinanziamento!I30='Prezzi smart adaptive lighting'!B18,'Prezzi smart adaptive lighting'!C18,IF(Autofinanziamento!I30='Prezzi smart adaptive lighting'!B19,'Prezzi smart adaptive lighting'!C19,'Prezzi smart adaptive lighting'!C20)))))+(F30)*(IF(Autofinanziamento!J30='Prezzi smart adaptive lighting'!B16,'Prezzi smart adaptive lighting'!C16,IF(Autofinanziamento!J30='Prezzi smart adaptive lighting'!B17,'Prezzi smart adaptive lighting'!C17,IF(Autofinanziamento!J30='Prezzi smart adaptive lighting'!B18,'Prezzi smart adaptive lighting'!C18,IF(Autofinanziamento!J30='Prezzi smart adaptive lighting'!B19,'Prezzi smart adaptive lighting'!C19,'Prezzi smart adaptive lighting'!C20)))))+(F30)*(IF(Autofinanziamento!K30='Prezzi smart adaptive lighting'!B16,'Prezzi smart adaptive lighting'!C16,IF(Autofinanziamento!K30='Prezzi smart adaptive lighting'!B17,'Prezzi smart adaptive lighting'!C17,IF(Autofinanziamento!K30='Prezzi smart adaptive lighting'!B18,'Prezzi smart adaptive lighting'!C18,IF(Autofinanziamento!K30='Prezzi smart adaptive lighting'!B19,'Prezzi smart adaptive lighting'!C19,'Prezzi smart adaptive lighting'!C20)))))</f>
        <v>0</v>
      </c>
      <c r="E105" t="s">
        <v>345</v>
      </c>
      <c r="F105" s="133" t="s">
        <v>232</v>
      </c>
      <c r="G105" s="100">
        <f>D72*'Prezzi smart adaptive lighting'!F11</f>
        <v>0</v>
      </c>
      <c r="H105" s="161"/>
    </row>
    <row r="106" spans="3:8" x14ac:dyDescent="0.2">
      <c r="C106" s="93" t="s">
        <v>324</v>
      </c>
      <c r="D106" s="101">
        <f>(G45)*(IF(Autofinanziamento!I45='Prezzi smart adaptive lighting'!B16,'Prezzi smart adaptive lighting'!C16,IF(Autofinanziamento!I45='Prezzi smart adaptive lighting'!B17,'Prezzi smart adaptive lighting'!C17,IF(Autofinanziamento!I45='Prezzi smart adaptive lighting'!B18,'Prezzi smart adaptive lighting'!C18,IF(Autofinanziamento!I45='Prezzi smart adaptive lighting'!B19,'Prezzi smart adaptive lighting'!C19,'Prezzi smart adaptive lighting'!C20)))))+(Autofinanziamento!G46)*(IF(Autofinanziamento!I46='Prezzi smart adaptive lighting'!B16,'Prezzi smart adaptive lighting'!C16,IF(Autofinanziamento!I46='Prezzi smart adaptive lighting'!B17,'Prezzi smart adaptive lighting'!C17,IF(Autofinanziamento!I46='Prezzi smart adaptive lighting'!B18,'Prezzi smart adaptive lighting'!C18,IF(Autofinanziamento!I46='Prezzi smart adaptive lighting'!B19,'Prezzi smart adaptive lighting'!C19,'Prezzi smart adaptive lighting'!C20)))))+(Autofinanziamento!G46)*(IF(Autofinanziamento!J46='Prezzi smart adaptive lighting'!B16,'Prezzi smart adaptive lighting'!C16,IF(Autofinanziamento!J46='Prezzi smart adaptive lighting'!B17,'Prezzi smart adaptive lighting'!C17,IF(Autofinanziamento!J46='Prezzi smart adaptive lighting'!B18,'Prezzi smart adaptive lighting'!C18,IF(Autofinanziamento!J46='Prezzi smart adaptive lighting'!B19,'Prezzi smart adaptive lighting'!C19,'Prezzi smart adaptive lighting'!C20)))))+(Autofinanziamento!G47)*(IF(Autofinanziamento!I47='Prezzi smart adaptive lighting'!B16,'Prezzi smart adaptive lighting'!C16,IF(Autofinanziamento!I47='Prezzi smart adaptive lighting'!B17,'Prezzi smart adaptive lighting'!C17,IF(Autofinanziamento!I47='Prezzi smart adaptive lighting'!B18,'Prezzi smart adaptive lighting'!C18,IF(Autofinanziamento!I47='Prezzi smart adaptive lighting'!B19,'Prezzi smart adaptive lighting'!C19,'Prezzi smart adaptive lighting'!C20)))))+(Autofinanziamento!G47)*(IF(Autofinanziamento!J47='Prezzi smart adaptive lighting'!B16,'Prezzi smart adaptive lighting'!C16,IF(Autofinanziamento!J47='Prezzi smart adaptive lighting'!B17,'Prezzi smart adaptive lighting'!C17,IF(Autofinanziamento!J47='Prezzi smart adaptive lighting'!B18,'Prezzi smart adaptive lighting'!C18,IF(Autofinanziamento!J47='Prezzi smart adaptive lighting'!B19,'Prezzi smart adaptive lighting'!C19,'Prezzi smart adaptive lighting'!C20)))))+(Autofinanziamento!G47)*(IF(Autofinanziamento!K47='Prezzi smart adaptive lighting'!B16,'Prezzi smart adaptive lighting'!C16,IF(Autofinanziamento!K47='Prezzi smart adaptive lighting'!B17,'Prezzi smart adaptive lighting'!C17,IF(Autofinanziamento!K47='Prezzi smart adaptive lighting'!B18,'Prezzi smart adaptive lighting'!C18,IF(Autofinanziamento!K47='Prezzi smart adaptive lighting'!B19,'Prezzi smart adaptive lighting'!C19,'Prezzi smart adaptive lighting'!C20)))))</f>
        <v>0</v>
      </c>
      <c r="E106" t="s">
        <v>345</v>
      </c>
      <c r="F106" s="93" t="s">
        <v>233</v>
      </c>
      <c r="G106" s="291">
        <f>IF(OR(G60&gt;0,G61&gt;0,G66&gt;0),50000,0)</f>
        <v>0</v>
      </c>
      <c r="H106" s="161" t="s">
        <v>241</v>
      </c>
    </row>
    <row r="107" spans="3:8" x14ac:dyDescent="0.2">
      <c r="C107" s="93" t="s">
        <v>271</v>
      </c>
      <c r="D107" s="376">
        <f>IF(G107="si",10000,0)</f>
        <v>0</v>
      </c>
      <c r="E107" t="s">
        <v>272</v>
      </c>
      <c r="F107" s="16" t="s">
        <v>273</v>
      </c>
      <c r="G107" s="289" t="s">
        <v>119</v>
      </c>
      <c r="H107" s="161"/>
    </row>
    <row r="108" spans="3:8" x14ac:dyDescent="0.2">
      <c r="C108" s="3" t="s">
        <v>346</v>
      </c>
      <c r="D108" s="386"/>
      <c r="F108" s="21" t="s">
        <v>274</v>
      </c>
      <c r="G108" s="290"/>
      <c r="H108" s="161"/>
    </row>
    <row r="109" spans="3:8" x14ac:dyDescent="0.2">
      <c r="C109" s="121" t="s">
        <v>112</v>
      </c>
      <c r="D109" s="122">
        <f>SUM(D88:D108)</f>
        <v>0</v>
      </c>
      <c r="F109" s="21" t="s">
        <v>164</v>
      </c>
      <c r="G109" s="292">
        <f>IF(E37="si",E39,'Prezzi smart adaptive lighting'!C15*D71)*IF((F27&gt;0),(1.1),1)*IF(F32&gt;0,(1.2),1)+IF(E37="si",E39,'Prezzi smart adaptive lighting'!C15*D71)*IF(COUNTBLANK(G44)+COUNTBLANK(G48)+COUNTBLANK(G50:G53)+COUNTBLANK(G55:G56)+COUNTBLANK(G60:G61)+COUNTBLANK(G65:G66)=11,(1.1),0)+IF(E37="si",E39,'Prezzi smart adaptive lighting'!C15*D71)*IF(COUNTBLANK(G44)+COUNTBLANK(G48)+COUNTBLANK(G50:G53)+COUNTBLANK(G55:G56)+COUNTBLANK(G60:G61)+COUNTBLANK(G65:G66)=10,(1.2),0)+IF(E37="si",E39,'Prezzi smart adaptive lighting'!C15*D71)*IF(COUNTBLANK(G44)+COUNTBLANK(G48)+COUNTBLANK(G50:G53)+COUNTBLANK(G55:G56)+COUNTBLANK(G60:G61)+COUNTBLANK(G65:G66)&lt;=9,(1.3),0)+IF(D75&gt;0,500,0)+IF(G107="si",G108,0)</f>
        <v>0</v>
      </c>
      <c r="H109" s="161"/>
    </row>
    <row r="110" spans="3:8" x14ac:dyDescent="0.2">
      <c r="E110" s="12"/>
      <c r="H110" s="161"/>
    </row>
    <row r="111" spans="3:8" x14ac:dyDescent="0.2">
      <c r="C111" s="446" t="s">
        <v>0</v>
      </c>
      <c r="D111" s="447"/>
    </row>
    <row r="112" spans="3:8" x14ac:dyDescent="0.2">
      <c r="C112" s="20" t="s">
        <v>1</v>
      </c>
      <c r="D112" s="83">
        <v>0</v>
      </c>
    </row>
    <row r="113" spans="3:24" x14ac:dyDescent="0.2">
      <c r="C113" s="1" t="s">
        <v>159</v>
      </c>
      <c r="D113" s="117">
        <v>0.5</v>
      </c>
      <c r="E113" s="72" t="str">
        <f>IF((D113+D115)&lt;1,"ATTENZIONE! Controllare valore","ok")</f>
        <v>ok</v>
      </c>
    </row>
    <row r="114" spans="3:24" x14ac:dyDescent="0.2">
      <c r="C114" s="1" t="s">
        <v>160</v>
      </c>
      <c r="D114" s="137">
        <v>0</v>
      </c>
    </row>
    <row r="115" spans="3:24" x14ac:dyDescent="0.2">
      <c r="C115" s="93" t="s">
        <v>161</v>
      </c>
      <c r="D115" s="118">
        <v>0.5</v>
      </c>
      <c r="E115" s="72" t="str">
        <f>IF((D113+D115)&lt;1,"ATTENZIONE! Controllare valore","ok")</f>
        <v>ok</v>
      </c>
    </row>
    <row r="116" spans="3:24" x14ac:dyDescent="0.2">
      <c r="C116" s="1" t="s">
        <v>19</v>
      </c>
      <c r="D116" s="117">
        <v>7.0000000000000007E-2</v>
      </c>
    </row>
    <row r="117" spans="3:24" x14ac:dyDescent="0.2">
      <c r="C117" s="1" t="s">
        <v>158</v>
      </c>
      <c r="D117" s="138">
        <v>0</v>
      </c>
      <c r="E117" s="101"/>
    </row>
    <row r="118" spans="3:24" x14ac:dyDescent="0.2">
      <c r="C118" s="93" t="s">
        <v>162</v>
      </c>
      <c r="D118" s="118">
        <v>0.03</v>
      </c>
      <c r="E118" s="102"/>
    </row>
    <row r="119" spans="3:24" x14ac:dyDescent="0.2">
      <c r="C119" s="22" t="s">
        <v>27</v>
      </c>
      <c r="D119" s="80">
        <f>D113*D116+D114*D117+D115*D118</f>
        <v>0.05</v>
      </c>
    </row>
    <row r="120" spans="3:24" x14ac:dyDescent="0.2">
      <c r="C120" s="127"/>
      <c r="D120" s="304"/>
    </row>
    <row r="121" spans="3:24" ht="16" thickBot="1" x14ac:dyDescent="0.25"/>
    <row r="122" spans="3:24" ht="16" thickBot="1" x14ac:dyDescent="0.25">
      <c r="C122" s="431" t="s">
        <v>279</v>
      </c>
      <c r="D122" s="432"/>
      <c r="E122" s="262" t="s">
        <v>119</v>
      </c>
    </row>
    <row r="123" spans="3:24" x14ac:dyDescent="0.2">
      <c r="T123" s="18"/>
      <c r="U123" s="132"/>
      <c r="V123" s="18"/>
      <c r="W123" s="18"/>
      <c r="X123" s="18"/>
    </row>
    <row r="124" spans="3:24" x14ac:dyDescent="0.2">
      <c r="C124" s="5" t="s">
        <v>2</v>
      </c>
      <c r="D124" s="6">
        <v>0</v>
      </c>
      <c r="E124" s="6">
        <v>1</v>
      </c>
      <c r="F124" s="6">
        <v>2</v>
      </c>
      <c r="G124" s="6">
        <v>3</v>
      </c>
      <c r="H124" s="6">
        <v>4</v>
      </c>
      <c r="I124" s="6">
        <v>5</v>
      </c>
      <c r="J124" s="6">
        <v>6</v>
      </c>
      <c r="K124" s="6">
        <v>7</v>
      </c>
      <c r="L124" s="6">
        <v>8</v>
      </c>
      <c r="M124" s="6">
        <v>9</v>
      </c>
      <c r="N124" s="6">
        <v>10</v>
      </c>
      <c r="O124" s="6">
        <v>11</v>
      </c>
      <c r="P124" s="6">
        <v>12</v>
      </c>
      <c r="Q124" s="6">
        <v>13</v>
      </c>
      <c r="R124" s="6">
        <v>14</v>
      </c>
      <c r="S124" s="6">
        <v>15</v>
      </c>
      <c r="T124" s="132"/>
      <c r="U124" s="132"/>
      <c r="V124" s="132"/>
      <c r="W124" s="132"/>
      <c r="X124" s="132"/>
    </row>
    <row r="125" spans="3:24" x14ac:dyDescent="0.2">
      <c r="C125" s="7" t="s">
        <v>3</v>
      </c>
      <c r="D125" s="8"/>
      <c r="E125" s="8"/>
      <c r="F125" s="8"/>
      <c r="G125" s="8"/>
      <c r="H125" s="8"/>
      <c r="I125" s="8"/>
      <c r="J125" s="8"/>
      <c r="K125" s="8"/>
      <c r="L125" s="8"/>
      <c r="M125" s="8"/>
      <c r="N125" s="8"/>
      <c r="O125" s="8"/>
      <c r="P125" s="8"/>
      <c r="Q125" s="8"/>
      <c r="R125" s="8"/>
      <c r="S125" s="8"/>
      <c r="T125" s="18"/>
      <c r="U125" s="18"/>
      <c r="V125" s="18"/>
      <c r="W125" s="18"/>
      <c r="X125" s="18"/>
    </row>
    <row r="126" spans="3:24" x14ac:dyDescent="0.2">
      <c r="C126" s="9" t="s">
        <v>134</v>
      </c>
      <c r="D126" s="173">
        <f>-D109</f>
        <v>0</v>
      </c>
      <c r="E126" s="10"/>
      <c r="F126" s="10"/>
      <c r="G126" s="10"/>
      <c r="H126" s="10"/>
      <c r="I126" s="10"/>
      <c r="J126" s="10"/>
      <c r="K126" s="10"/>
      <c r="L126" s="10"/>
      <c r="M126" s="10"/>
      <c r="N126" s="10"/>
      <c r="O126" s="10"/>
      <c r="P126" s="10"/>
      <c r="Q126" s="10"/>
      <c r="R126" s="10"/>
      <c r="S126" s="10"/>
      <c r="T126" s="18"/>
      <c r="U126" s="18"/>
      <c r="V126" s="18"/>
      <c r="W126" s="18"/>
      <c r="X126" s="18"/>
    </row>
    <row r="127" spans="3:24" x14ac:dyDescent="0.2">
      <c r="C127" s="7" t="s">
        <v>4</v>
      </c>
      <c r="D127" s="8"/>
      <c r="E127" s="8"/>
      <c r="F127" s="8"/>
      <c r="G127" s="8"/>
      <c r="H127" s="8"/>
      <c r="I127" s="8"/>
      <c r="J127" s="8"/>
      <c r="K127" s="8"/>
      <c r="L127" s="8"/>
      <c r="M127" s="8"/>
      <c r="N127" s="8"/>
      <c r="O127" s="8"/>
      <c r="P127" s="8"/>
      <c r="Q127" s="8"/>
      <c r="R127" s="8"/>
      <c r="S127" s="8"/>
      <c r="T127" s="18"/>
      <c r="U127" s="18"/>
      <c r="V127" s="18"/>
      <c r="W127" s="18"/>
      <c r="X127" s="18"/>
    </row>
    <row r="128" spans="3:24" s="101" customFormat="1" x14ac:dyDescent="0.2">
      <c r="C128" s="105" t="s">
        <v>26</v>
      </c>
      <c r="D128" s="106"/>
      <c r="E128" s="106">
        <f>($G$93-$G$92)*$G$91</f>
        <v>0</v>
      </c>
      <c r="F128" s="106">
        <f t="shared" ref="F128:S128" si="2">($G$93-$G$92)*$G$91</f>
        <v>0</v>
      </c>
      <c r="G128" s="106">
        <f t="shared" si="2"/>
        <v>0</v>
      </c>
      <c r="H128" s="106">
        <f t="shared" si="2"/>
        <v>0</v>
      </c>
      <c r="I128" s="106">
        <f t="shared" si="2"/>
        <v>0</v>
      </c>
      <c r="J128" s="106">
        <f t="shared" si="2"/>
        <v>0</v>
      </c>
      <c r="K128" s="106">
        <f t="shared" si="2"/>
        <v>0</v>
      </c>
      <c r="L128" s="106">
        <f t="shared" si="2"/>
        <v>0</v>
      </c>
      <c r="M128" s="106">
        <f t="shared" si="2"/>
        <v>0</v>
      </c>
      <c r="N128" s="106">
        <f t="shared" si="2"/>
        <v>0</v>
      </c>
      <c r="O128" s="106">
        <f t="shared" si="2"/>
        <v>0</v>
      </c>
      <c r="P128" s="106">
        <f t="shared" si="2"/>
        <v>0</v>
      </c>
      <c r="Q128" s="106">
        <f t="shared" si="2"/>
        <v>0</v>
      </c>
      <c r="R128" s="106">
        <f t="shared" si="2"/>
        <v>0</v>
      </c>
      <c r="S128" s="100">
        <f t="shared" si="2"/>
        <v>0</v>
      </c>
      <c r="T128" s="140"/>
      <c r="U128" s="140"/>
      <c r="V128" s="140"/>
      <c r="W128" s="140"/>
      <c r="X128" s="140"/>
    </row>
    <row r="129" spans="3:25" s="101" customFormat="1" x14ac:dyDescent="0.2">
      <c r="C129" s="107" t="s">
        <v>126</v>
      </c>
      <c r="D129" s="108"/>
      <c r="E129" s="108">
        <f>IF($G$84="si",0,($G$86-$G$85))-IF($G$60&gt;0,0.1*($H$60+$G$60*'Prezzi servizi "smart"'!$I$12),0)-IF(Autofinanziamento!$G$61&gt;0,0.1*(Autofinanziamento!$D$102+Autofinanziamento!$G$61*'Prezzi servizi "smart"'!$I$17),0)</f>
        <v>0</v>
      </c>
      <c r="F129" s="108">
        <f>IF($G$84="si",0,($G$86-$G$85))-IF($G$60&gt;0,0.1*($H$60+$G$60*'Prezzi servizi "smart"'!$I$12),0)-IF(Autofinanziamento!$G$61&gt;0,0.1*(Autofinanziamento!$D$102+Autofinanziamento!$G$61*'Prezzi servizi "smart"'!$I$17),0)</f>
        <v>0</v>
      </c>
      <c r="G129" s="108">
        <f>IF($G$84="si",0,($G$86-$G$85))-IF($G$60&gt;0,0.1*($H$60+$G$60*'Prezzi servizi "smart"'!$I$12),0)-IF(Autofinanziamento!$G$61&gt;0,0.1*(Autofinanziamento!$D$102+Autofinanziamento!$G$61*'Prezzi servizi "smart"'!$I$17),0)</f>
        <v>0</v>
      </c>
      <c r="H129" s="108">
        <f>IF($G$84="si",0,($G$86-$G$85))-IF($G$60&gt;0,0.1*($H$60+$G$60*'Prezzi servizi "smart"'!$I$12),0)-IF(Autofinanziamento!$G$61&gt;0,0.1*(Autofinanziamento!$D$102+Autofinanziamento!$G$61*'Prezzi servizi "smart"'!$I$17),0)</f>
        <v>0</v>
      </c>
      <c r="I129" s="108">
        <f>IF($G$84="si",0,($G$86-$G$85))-IF($G$60&gt;0,0.1*($H$60+$G$60*'Prezzi servizi "smart"'!$I$12),0)-IF(Autofinanziamento!$G$61&gt;0,0.1*(Autofinanziamento!$D$102+Autofinanziamento!$G$61*'Prezzi servizi "smart"'!$I$17),0)</f>
        <v>0</v>
      </c>
      <c r="J129" s="108">
        <f>IF($G$84="si",0,($G$86-$G$85))-IF($G$60&gt;0,0.1*($H$60+$G$60*'Prezzi servizi "smart"'!$I$12),0)-IF(Autofinanziamento!$G$61&gt;0,0.1*(Autofinanziamento!$D$102+Autofinanziamento!$G$61*'Prezzi servizi "smart"'!$I$17),0)</f>
        <v>0</v>
      </c>
      <c r="K129" s="108">
        <f>IF($G$84="si",0,($G$86-$G$85))-IF($G$60&gt;0,0.1*($H$60+$G$60*'Prezzi servizi "smart"'!$I$12),0)-IF(Autofinanziamento!$G$61&gt;0,0.1*(Autofinanziamento!$D$102+Autofinanziamento!$G$61*'Prezzi servizi "smart"'!$I$17),0)</f>
        <v>0</v>
      </c>
      <c r="L129" s="108">
        <f>IF($G$84="si",0,($G$86-$G$85))-IF($G$60&gt;0,0.1*($H$60+$G$60*'Prezzi servizi "smart"'!$I$12),0)-IF(Autofinanziamento!$G$61&gt;0,0.1*(Autofinanziamento!$D$102+Autofinanziamento!$G$61*'Prezzi servizi "smart"'!$I$17),0)</f>
        <v>0</v>
      </c>
      <c r="M129" s="108">
        <f>IF($G$84="si",0,($G$86-$G$85))-IF($G$60&gt;0,0.1*($H$60+$G$60*'Prezzi servizi "smart"'!$I$12),0)-IF(Autofinanziamento!$G$61&gt;0,0.1*(Autofinanziamento!$D$102+Autofinanziamento!$G$61*'Prezzi servizi "smart"'!$I$17),0)</f>
        <v>0</v>
      </c>
      <c r="N129" s="108">
        <f>IF($G$84="si",0,($G$86-$G$85))-IF($G$60&gt;0,0.1*($H$60+$G$60*'Prezzi servizi "smart"'!$I$12),0)-IF(Autofinanziamento!$G$61&gt;0,0.1*(Autofinanziamento!$D$102+Autofinanziamento!$G$61*'Prezzi servizi "smart"'!$I$17),0)</f>
        <v>0</v>
      </c>
      <c r="O129" s="108">
        <f>IF($G$84="si",0,($G$86-$G$85))-IF($G$60&gt;0,0.1*($H$60+$G$60*'Prezzi servizi "smart"'!$I$12),0)-IF(Autofinanziamento!$G$61&gt;0,0.1*(Autofinanziamento!$D$102+Autofinanziamento!$G$61*'Prezzi servizi "smart"'!$I$17),0)</f>
        <v>0</v>
      </c>
      <c r="P129" s="108">
        <f>IF($G$84="si",0,($G$86-$G$85))-IF($G$60&gt;0,0.1*($H$60+$G$60*'Prezzi servizi "smart"'!$I$12),0)-IF(Autofinanziamento!$G$61&gt;0,0.1*(Autofinanziamento!$D$102+Autofinanziamento!$G$61*'Prezzi servizi "smart"'!$I$17),0)</f>
        <v>0</v>
      </c>
      <c r="Q129" s="108">
        <f>IF($G$84="si",0,($G$86-$G$85))-IF($G$60&gt;0,0.1*($H$60+$G$60*'Prezzi servizi "smart"'!$I$12),0)-IF(Autofinanziamento!$G$61&gt;0,0.1*(Autofinanziamento!$D$102+Autofinanziamento!$G$61*'Prezzi servizi "smart"'!$I$17),0)</f>
        <v>0</v>
      </c>
      <c r="R129" s="108">
        <f>IF($G$84="si",0,($G$86-$G$85))-IF($G$60&gt;0,0.1*($H$60+$G$60*'Prezzi servizi "smart"'!$I$12),0)-IF(Autofinanziamento!$G$61&gt;0,0.1*(Autofinanziamento!$D$102+Autofinanziamento!$G$61*'Prezzi servizi "smart"'!$I$17),0)</f>
        <v>0</v>
      </c>
      <c r="S129" s="108">
        <f>IF($G$84="si",0,($G$86-$G$85))-IF($G$60&gt;0,0.1*($H$60+$G$60*'Prezzi servizi "smart"'!$I$12),0)-IF(Autofinanziamento!$G$61&gt;0,0.1*(Autofinanziamento!$D$102+Autofinanziamento!$G$61*'Prezzi servizi "smart"'!$I$17),0)</f>
        <v>0</v>
      </c>
      <c r="T129" s="140"/>
      <c r="U129" s="140"/>
      <c r="V129" s="140"/>
      <c r="W129" s="140"/>
      <c r="X129" s="140"/>
    </row>
    <row r="130" spans="3:25" s="101" customFormat="1" x14ac:dyDescent="0.2">
      <c r="C130" s="107" t="s">
        <v>278</v>
      </c>
      <c r="D130" s="108"/>
      <c r="E130" s="108">
        <f>IF($E$122="si",$G$101,0)</f>
        <v>0</v>
      </c>
      <c r="F130" s="108">
        <f t="shared" ref="F130:S130" si="3">IF($E$122="si",$G$101,0)</f>
        <v>0</v>
      </c>
      <c r="G130" s="108">
        <f t="shared" si="3"/>
        <v>0</v>
      </c>
      <c r="H130" s="108">
        <f t="shared" si="3"/>
        <v>0</v>
      </c>
      <c r="I130" s="108">
        <f t="shared" si="3"/>
        <v>0</v>
      </c>
      <c r="J130" s="108">
        <f t="shared" si="3"/>
        <v>0</v>
      </c>
      <c r="K130" s="108">
        <f t="shared" si="3"/>
        <v>0</v>
      </c>
      <c r="L130" s="108">
        <f t="shared" si="3"/>
        <v>0</v>
      </c>
      <c r="M130" s="108">
        <f t="shared" si="3"/>
        <v>0</v>
      </c>
      <c r="N130" s="108">
        <f t="shared" si="3"/>
        <v>0</v>
      </c>
      <c r="O130" s="108">
        <f t="shared" si="3"/>
        <v>0</v>
      </c>
      <c r="P130" s="108">
        <f t="shared" si="3"/>
        <v>0</v>
      </c>
      <c r="Q130" s="108">
        <f t="shared" si="3"/>
        <v>0</v>
      </c>
      <c r="R130" s="108">
        <f t="shared" si="3"/>
        <v>0</v>
      </c>
      <c r="S130" s="108">
        <f t="shared" si="3"/>
        <v>0</v>
      </c>
      <c r="T130" s="141"/>
      <c r="U130" s="141"/>
      <c r="V130" s="141"/>
      <c r="W130" s="141"/>
      <c r="X130" s="141"/>
      <c r="Y130" s="108"/>
    </row>
    <row r="131" spans="3:25" x14ac:dyDescent="0.2">
      <c r="C131" s="109" t="s">
        <v>5</v>
      </c>
      <c r="D131" s="110"/>
      <c r="E131" s="111">
        <f>SUM(E128:E130)</f>
        <v>0</v>
      </c>
      <c r="F131" s="111">
        <f t="shared" ref="F131:S131" si="4">SUM(F128:F130)</f>
        <v>0</v>
      </c>
      <c r="G131" s="111">
        <f>SUM(G128:G130)</f>
        <v>0</v>
      </c>
      <c r="H131" s="111">
        <f t="shared" si="4"/>
        <v>0</v>
      </c>
      <c r="I131" s="111">
        <f t="shared" si="4"/>
        <v>0</v>
      </c>
      <c r="J131" s="111">
        <f t="shared" si="4"/>
        <v>0</v>
      </c>
      <c r="K131" s="111">
        <f t="shared" si="4"/>
        <v>0</v>
      </c>
      <c r="L131" s="111">
        <f t="shared" si="4"/>
        <v>0</v>
      </c>
      <c r="M131" s="111">
        <f t="shared" si="4"/>
        <v>0</v>
      </c>
      <c r="N131" s="111">
        <f t="shared" si="4"/>
        <v>0</v>
      </c>
      <c r="O131" s="111">
        <f t="shared" si="4"/>
        <v>0</v>
      </c>
      <c r="P131" s="111">
        <f t="shared" si="4"/>
        <v>0</v>
      </c>
      <c r="Q131" s="111">
        <f t="shared" si="4"/>
        <v>0</v>
      </c>
      <c r="R131" s="111">
        <f t="shared" si="4"/>
        <v>0</v>
      </c>
      <c r="S131" s="111">
        <f t="shared" si="4"/>
        <v>0</v>
      </c>
      <c r="T131" s="18"/>
      <c r="U131" s="18"/>
      <c r="V131" s="18"/>
      <c r="W131" s="18"/>
      <c r="X131" s="18"/>
      <c r="Y131" s="12"/>
    </row>
    <row r="132" spans="3:25" s="101" customFormat="1" x14ac:dyDescent="0.2">
      <c r="C132" s="7" t="s">
        <v>6</v>
      </c>
      <c r="D132" s="8"/>
      <c r="E132" s="8"/>
      <c r="F132" s="8"/>
      <c r="G132" s="8"/>
      <c r="H132" s="8"/>
      <c r="I132" s="8"/>
      <c r="J132" s="8"/>
      <c r="K132" s="8"/>
      <c r="L132" s="8"/>
      <c r="M132" s="8"/>
      <c r="N132" s="8"/>
      <c r="O132" s="8"/>
      <c r="P132" s="8"/>
      <c r="Q132" s="8"/>
      <c r="R132" s="8"/>
      <c r="S132" s="8"/>
      <c r="T132" s="140"/>
      <c r="U132" s="140"/>
      <c r="V132" s="140"/>
      <c r="W132" s="140"/>
      <c r="X132" s="140"/>
      <c r="Y132" s="108"/>
    </row>
    <row r="133" spans="3:25" s="101" customFormat="1" x14ac:dyDescent="0.2">
      <c r="C133" s="107" t="s">
        <v>124</v>
      </c>
      <c r="D133" s="108"/>
      <c r="E133" s="108">
        <f t="shared" ref="E133:S133" si="5">$G$105+$G$106</f>
        <v>0</v>
      </c>
      <c r="F133" s="108">
        <f t="shared" si="5"/>
        <v>0</v>
      </c>
      <c r="G133" s="108">
        <f t="shared" si="5"/>
        <v>0</v>
      </c>
      <c r="H133" s="108">
        <f t="shared" si="5"/>
        <v>0</v>
      </c>
      <c r="I133" s="108">
        <f t="shared" si="5"/>
        <v>0</v>
      </c>
      <c r="J133" s="108">
        <f t="shared" si="5"/>
        <v>0</v>
      </c>
      <c r="K133" s="108">
        <f t="shared" si="5"/>
        <v>0</v>
      </c>
      <c r="L133" s="108">
        <f t="shared" si="5"/>
        <v>0</v>
      </c>
      <c r="M133" s="108">
        <f t="shared" si="5"/>
        <v>0</v>
      </c>
      <c r="N133" s="108">
        <f t="shared" si="5"/>
        <v>0</v>
      </c>
      <c r="O133" s="108">
        <f t="shared" si="5"/>
        <v>0</v>
      </c>
      <c r="P133" s="108">
        <f t="shared" si="5"/>
        <v>0</v>
      </c>
      <c r="Q133" s="108">
        <f t="shared" si="5"/>
        <v>0</v>
      </c>
      <c r="R133" s="108">
        <f t="shared" si="5"/>
        <v>0</v>
      </c>
      <c r="S133" s="108">
        <f t="shared" si="5"/>
        <v>0</v>
      </c>
      <c r="T133" s="140"/>
      <c r="U133" s="140"/>
      <c r="V133" s="140"/>
      <c r="W133" s="140"/>
      <c r="X133" s="140"/>
      <c r="Y133" s="108"/>
    </row>
    <row r="134" spans="3:25" s="101" customFormat="1" x14ac:dyDescent="0.2">
      <c r="C134" s="107" t="s">
        <v>128</v>
      </c>
      <c r="D134" s="108"/>
      <c r="E134" s="114">
        <f t="shared" ref="E134:S134" si="6">$G$109</f>
        <v>0</v>
      </c>
      <c r="F134" s="114">
        <f t="shared" si="6"/>
        <v>0</v>
      </c>
      <c r="G134" s="114">
        <f t="shared" si="6"/>
        <v>0</v>
      </c>
      <c r="H134" s="114">
        <f t="shared" si="6"/>
        <v>0</v>
      </c>
      <c r="I134" s="114">
        <f t="shared" si="6"/>
        <v>0</v>
      </c>
      <c r="J134" s="114">
        <f t="shared" si="6"/>
        <v>0</v>
      </c>
      <c r="K134" s="114">
        <f t="shared" si="6"/>
        <v>0</v>
      </c>
      <c r="L134" s="114">
        <f t="shared" si="6"/>
        <v>0</v>
      </c>
      <c r="M134" s="114">
        <f t="shared" si="6"/>
        <v>0</v>
      </c>
      <c r="N134" s="114">
        <f t="shared" si="6"/>
        <v>0</v>
      </c>
      <c r="O134" s="114">
        <f t="shared" si="6"/>
        <v>0</v>
      </c>
      <c r="P134" s="114">
        <f t="shared" si="6"/>
        <v>0</v>
      </c>
      <c r="Q134" s="114">
        <f t="shared" si="6"/>
        <v>0</v>
      </c>
      <c r="R134" s="114">
        <f t="shared" si="6"/>
        <v>0</v>
      </c>
      <c r="S134" s="114">
        <f t="shared" si="6"/>
        <v>0</v>
      </c>
      <c r="T134" s="141"/>
      <c r="U134" s="141"/>
      <c r="V134" s="141"/>
      <c r="W134" s="141"/>
      <c r="X134" s="141"/>
      <c r="Y134" s="108"/>
    </row>
    <row r="135" spans="3:25" x14ac:dyDescent="0.2">
      <c r="C135" s="109" t="s">
        <v>7</v>
      </c>
      <c r="D135" s="110"/>
      <c r="E135" s="111">
        <f t="shared" ref="E135:S135" si="7">SUM(E133:E134)</f>
        <v>0</v>
      </c>
      <c r="F135" s="111">
        <f t="shared" si="7"/>
        <v>0</v>
      </c>
      <c r="G135" s="111">
        <f t="shared" si="7"/>
        <v>0</v>
      </c>
      <c r="H135" s="111">
        <f t="shared" si="7"/>
        <v>0</v>
      </c>
      <c r="I135" s="111">
        <f t="shared" si="7"/>
        <v>0</v>
      </c>
      <c r="J135" s="111">
        <f t="shared" si="7"/>
        <v>0</v>
      </c>
      <c r="K135" s="111">
        <f t="shared" si="7"/>
        <v>0</v>
      </c>
      <c r="L135" s="111">
        <f t="shared" si="7"/>
        <v>0</v>
      </c>
      <c r="M135" s="111">
        <f t="shared" si="7"/>
        <v>0</v>
      </c>
      <c r="N135" s="111">
        <f t="shared" si="7"/>
        <v>0</v>
      </c>
      <c r="O135" s="111">
        <f t="shared" si="7"/>
        <v>0</v>
      </c>
      <c r="P135" s="111">
        <f t="shared" si="7"/>
        <v>0</v>
      </c>
      <c r="Q135" s="111">
        <f t="shared" si="7"/>
        <v>0</v>
      </c>
      <c r="R135" s="111">
        <f t="shared" si="7"/>
        <v>0</v>
      </c>
      <c r="S135" s="111">
        <f t="shared" si="7"/>
        <v>0</v>
      </c>
      <c r="T135" s="18"/>
      <c r="U135" s="18"/>
      <c r="V135" s="18"/>
      <c r="W135" s="18"/>
      <c r="X135" s="18"/>
    </row>
    <row r="136" spans="3:25" s="101" customFormat="1" x14ac:dyDescent="0.2">
      <c r="C136" s="7" t="s">
        <v>12</v>
      </c>
      <c r="D136" s="8"/>
      <c r="E136" s="8"/>
      <c r="F136" s="8"/>
      <c r="G136" s="8"/>
      <c r="H136" s="8"/>
      <c r="I136" s="8"/>
      <c r="J136" s="8"/>
      <c r="K136" s="8"/>
      <c r="L136" s="8"/>
      <c r="M136" s="8"/>
      <c r="N136" s="8"/>
      <c r="O136" s="8"/>
      <c r="P136" s="8"/>
      <c r="Q136" s="8"/>
      <c r="R136" s="8"/>
      <c r="S136" s="8"/>
      <c r="T136" s="140"/>
      <c r="U136" s="140"/>
      <c r="V136" s="140"/>
      <c r="W136" s="140"/>
      <c r="X136" s="140"/>
    </row>
    <row r="137" spans="3:25" s="101" customFormat="1" x14ac:dyDescent="0.2">
      <c r="C137" s="105" t="s">
        <v>12</v>
      </c>
      <c r="D137" s="106">
        <f>D126</f>
        <v>0</v>
      </c>
      <c r="E137" s="106">
        <f>E131-E135</f>
        <v>0</v>
      </c>
      <c r="F137" s="106">
        <f t="shared" ref="F137:S137" si="8">F131-F135</f>
        <v>0</v>
      </c>
      <c r="G137" s="106">
        <f t="shared" si="8"/>
        <v>0</v>
      </c>
      <c r="H137" s="106">
        <f t="shared" si="8"/>
        <v>0</v>
      </c>
      <c r="I137" s="106">
        <f t="shared" si="8"/>
        <v>0</v>
      </c>
      <c r="J137" s="106">
        <f t="shared" si="8"/>
        <v>0</v>
      </c>
      <c r="K137" s="106">
        <f t="shared" si="8"/>
        <v>0</v>
      </c>
      <c r="L137" s="106">
        <f t="shared" si="8"/>
        <v>0</v>
      </c>
      <c r="M137" s="106">
        <f t="shared" si="8"/>
        <v>0</v>
      </c>
      <c r="N137" s="106">
        <f t="shared" si="8"/>
        <v>0</v>
      </c>
      <c r="O137" s="106">
        <f t="shared" si="8"/>
        <v>0</v>
      </c>
      <c r="P137" s="106">
        <f t="shared" si="8"/>
        <v>0</v>
      </c>
      <c r="Q137" s="106">
        <f t="shared" si="8"/>
        <v>0</v>
      </c>
      <c r="R137" s="106">
        <f t="shared" si="8"/>
        <v>0</v>
      </c>
      <c r="S137" s="106">
        <f t="shared" si="8"/>
        <v>0</v>
      </c>
      <c r="T137" s="140"/>
      <c r="U137" s="140"/>
      <c r="V137" s="140"/>
      <c r="W137" s="140"/>
      <c r="X137" s="140"/>
    </row>
    <row r="138" spans="3:25" s="101" customFormat="1" x14ac:dyDescent="0.2">
      <c r="C138" s="107" t="s">
        <v>13</v>
      </c>
      <c r="D138" s="108">
        <f t="shared" ref="D138:S138" si="9">D137/(1+$D$119)^D124</f>
        <v>0</v>
      </c>
      <c r="E138" s="108">
        <f t="shared" si="9"/>
        <v>0</v>
      </c>
      <c r="F138" s="108">
        <f t="shared" si="9"/>
        <v>0</v>
      </c>
      <c r="G138" s="108">
        <f t="shared" si="9"/>
        <v>0</v>
      </c>
      <c r="H138" s="108">
        <f t="shared" si="9"/>
        <v>0</v>
      </c>
      <c r="I138" s="108">
        <f t="shared" si="9"/>
        <v>0</v>
      </c>
      <c r="J138" s="108">
        <f t="shared" si="9"/>
        <v>0</v>
      </c>
      <c r="K138" s="108">
        <f t="shared" si="9"/>
        <v>0</v>
      </c>
      <c r="L138" s="108">
        <f t="shared" si="9"/>
        <v>0</v>
      </c>
      <c r="M138" s="108">
        <f t="shared" si="9"/>
        <v>0</v>
      </c>
      <c r="N138" s="108">
        <f t="shared" si="9"/>
        <v>0</v>
      </c>
      <c r="O138" s="108">
        <f t="shared" si="9"/>
        <v>0</v>
      </c>
      <c r="P138" s="108">
        <f t="shared" si="9"/>
        <v>0</v>
      </c>
      <c r="Q138" s="108">
        <f t="shared" si="9"/>
        <v>0</v>
      </c>
      <c r="R138" s="108">
        <f t="shared" si="9"/>
        <v>0</v>
      </c>
      <c r="S138" s="108">
        <f t="shared" si="9"/>
        <v>0</v>
      </c>
      <c r="T138" s="141"/>
      <c r="U138" s="141"/>
      <c r="V138" s="141"/>
      <c r="W138" s="141"/>
      <c r="X138" s="141"/>
    </row>
    <row r="139" spans="3:25" x14ac:dyDescent="0.2">
      <c r="C139" s="115" t="s">
        <v>181</v>
      </c>
      <c r="D139" s="112">
        <f>D138</f>
        <v>0</v>
      </c>
      <c r="E139" s="112">
        <f>D139+E138</f>
        <v>0</v>
      </c>
      <c r="F139" s="112">
        <f>E139+F138</f>
        <v>0</v>
      </c>
      <c r="G139" s="112">
        <f t="shared" ref="G139:S139" si="10">F139+G138</f>
        <v>0</v>
      </c>
      <c r="H139" s="112">
        <f t="shared" si="10"/>
        <v>0</v>
      </c>
      <c r="I139" s="112">
        <f t="shared" si="10"/>
        <v>0</v>
      </c>
      <c r="J139" s="112">
        <f t="shared" si="10"/>
        <v>0</v>
      </c>
      <c r="K139" s="112">
        <f t="shared" si="10"/>
        <v>0</v>
      </c>
      <c r="L139" s="112">
        <f t="shared" si="10"/>
        <v>0</v>
      </c>
      <c r="M139" s="112">
        <f t="shared" si="10"/>
        <v>0</v>
      </c>
      <c r="N139" s="112">
        <f t="shared" si="10"/>
        <v>0</v>
      </c>
      <c r="O139" s="112">
        <f t="shared" si="10"/>
        <v>0</v>
      </c>
      <c r="P139" s="112">
        <f t="shared" si="10"/>
        <v>0</v>
      </c>
      <c r="Q139" s="112">
        <f t="shared" si="10"/>
        <v>0</v>
      </c>
      <c r="R139" s="112">
        <f t="shared" si="10"/>
        <v>0</v>
      </c>
      <c r="S139" s="112">
        <f t="shared" si="10"/>
        <v>0</v>
      </c>
      <c r="T139" s="18"/>
      <c r="U139" s="18"/>
      <c r="V139" s="18"/>
      <c r="W139" s="18"/>
      <c r="X139" s="18"/>
    </row>
    <row r="140" spans="3:25" x14ac:dyDescent="0.2">
      <c r="C140" s="14"/>
      <c r="D140" s="13"/>
    </row>
    <row r="141" spans="3:25" x14ac:dyDescent="0.2">
      <c r="C141" s="286" t="s">
        <v>14</v>
      </c>
      <c r="D141" s="287"/>
    </row>
    <row r="142" spans="3:25" x14ac:dyDescent="0.2">
      <c r="C142" s="15" t="s">
        <v>15</v>
      </c>
      <c r="D142" s="78">
        <f>SUM(D137:Y137)</f>
        <v>0</v>
      </c>
    </row>
    <row r="143" spans="3:25" x14ac:dyDescent="0.2">
      <c r="C143" s="16" t="s">
        <v>16</v>
      </c>
      <c r="D143" s="2" t="e">
        <f>IRR(D136:X136)</f>
        <v>#NUM!</v>
      </c>
    </row>
    <row r="144" spans="3:25" x14ac:dyDescent="0.2">
      <c r="C144" s="11" t="s">
        <v>17</v>
      </c>
      <c r="D144" s="4">
        <f>IF(COUNTIF(D138:X138,"&lt;0")&lt;16,COUNTIF(D138:X138,"&lt;0"),"&gt;vu")</f>
        <v>0</v>
      </c>
    </row>
    <row r="165" spans="3:19" x14ac:dyDescent="0.2">
      <c r="C165" s="5" t="s">
        <v>2</v>
      </c>
      <c r="D165" s="6">
        <v>0</v>
      </c>
      <c r="E165" s="6">
        <v>1</v>
      </c>
      <c r="F165" s="6">
        <v>2</v>
      </c>
      <c r="G165" s="6">
        <v>3</v>
      </c>
      <c r="H165" s="6">
        <v>4</v>
      </c>
      <c r="I165" s="6">
        <v>5</v>
      </c>
      <c r="J165" s="6">
        <v>6</v>
      </c>
      <c r="K165" s="6">
        <v>7</v>
      </c>
      <c r="L165" s="6">
        <v>8</v>
      </c>
      <c r="M165" s="6">
        <v>9</v>
      </c>
      <c r="N165" s="6">
        <v>10</v>
      </c>
      <c r="O165" s="6">
        <v>11</v>
      </c>
      <c r="P165" s="6">
        <v>12</v>
      </c>
      <c r="Q165" s="6">
        <v>13</v>
      </c>
      <c r="R165" s="6">
        <v>14</v>
      </c>
      <c r="S165" s="6">
        <v>15</v>
      </c>
    </row>
    <row r="166" spans="3:19" x14ac:dyDescent="0.2">
      <c r="C166" s="105" t="s">
        <v>26</v>
      </c>
      <c r="E166" s="321">
        <f>(E128)/(1+$D$119)^E124</f>
        <v>0</v>
      </c>
      <c r="F166" s="321">
        <f t="shared" ref="F166:S166" si="11">(F128)/(1+$D$119)^F124</f>
        <v>0</v>
      </c>
      <c r="G166" s="321">
        <f t="shared" si="11"/>
        <v>0</v>
      </c>
      <c r="H166" s="321">
        <f t="shared" si="11"/>
        <v>0</v>
      </c>
      <c r="I166" s="321">
        <f t="shared" si="11"/>
        <v>0</v>
      </c>
      <c r="J166" s="321">
        <f t="shared" si="11"/>
        <v>0</v>
      </c>
      <c r="K166" s="321">
        <f t="shared" si="11"/>
        <v>0</v>
      </c>
      <c r="L166" s="321">
        <f t="shared" si="11"/>
        <v>0</v>
      </c>
      <c r="M166" s="321">
        <f t="shared" si="11"/>
        <v>0</v>
      </c>
      <c r="N166" s="321">
        <f t="shared" si="11"/>
        <v>0</v>
      </c>
      <c r="O166" s="321">
        <f t="shared" si="11"/>
        <v>0</v>
      </c>
      <c r="P166" s="321">
        <f t="shared" si="11"/>
        <v>0</v>
      </c>
      <c r="Q166" s="321">
        <f t="shared" si="11"/>
        <v>0</v>
      </c>
      <c r="R166" s="321">
        <f t="shared" si="11"/>
        <v>0</v>
      </c>
      <c r="S166" s="321">
        <f t="shared" si="11"/>
        <v>0</v>
      </c>
    </row>
    <row r="167" spans="3:19" x14ac:dyDescent="0.2">
      <c r="C167" s="107" t="s">
        <v>126</v>
      </c>
      <c r="E167" s="321">
        <f>(E129)/(1+$D$119)^E124</f>
        <v>0</v>
      </c>
      <c r="F167" s="321">
        <f t="shared" ref="F167:S167" si="12">(F129)/(1+$D$119)^F124</f>
        <v>0</v>
      </c>
      <c r="G167" s="321">
        <f t="shared" si="12"/>
        <v>0</v>
      </c>
      <c r="H167" s="321">
        <f t="shared" si="12"/>
        <v>0</v>
      </c>
      <c r="I167" s="321">
        <f t="shared" si="12"/>
        <v>0</v>
      </c>
      <c r="J167" s="321">
        <f t="shared" si="12"/>
        <v>0</v>
      </c>
      <c r="K167" s="321">
        <f t="shared" si="12"/>
        <v>0</v>
      </c>
      <c r="L167" s="321">
        <f t="shared" si="12"/>
        <v>0</v>
      </c>
      <c r="M167" s="321">
        <f t="shared" si="12"/>
        <v>0</v>
      </c>
      <c r="N167" s="321">
        <f t="shared" si="12"/>
        <v>0</v>
      </c>
      <c r="O167" s="321">
        <f t="shared" si="12"/>
        <v>0</v>
      </c>
      <c r="P167" s="321">
        <f t="shared" si="12"/>
        <v>0</v>
      </c>
      <c r="Q167" s="321">
        <f t="shared" si="12"/>
        <v>0</v>
      </c>
      <c r="R167" s="321">
        <f t="shared" si="12"/>
        <v>0</v>
      </c>
      <c r="S167" s="321">
        <f t="shared" si="12"/>
        <v>0</v>
      </c>
    </row>
    <row r="168" spans="3:19" x14ac:dyDescent="0.2">
      <c r="C168" s="107" t="s">
        <v>278</v>
      </c>
      <c r="E168" s="321">
        <f>($G$101)/(1+$D$119)^E124</f>
        <v>0</v>
      </c>
      <c r="F168" s="321">
        <f>($G$101)/(1+$D$119)^F124</f>
        <v>0</v>
      </c>
      <c r="G168" s="321">
        <f t="shared" ref="G168:S168" si="13">($G$101)/(1+$D$119)^G124</f>
        <v>0</v>
      </c>
      <c r="H168" s="321">
        <f t="shared" si="13"/>
        <v>0</v>
      </c>
      <c r="I168" s="321">
        <f t="shared" si="13"/>
        <v>0</v>
      </c>
      <c r="J168" s="321">
        <f t="shared" si="13"/>
        <v>0</v>
      </c>
      <c r="K168" s="321">
        <f t="shared" si="13"/>
        <v>0</v>
      </c>
      <c r="L168" s="321">
        <f t="shared" si="13"/>
        <v>0</v>
      </c>
      <c r="M168" s="321">
        <f t="shared" si="13"/>
        <v>0</v>
      </c>
      <c r="N168" s="321">
        <f t="shared" si="13"/>
        <v>0</v>
      </c>
      <c r="O168" s="321">
        <f t="shared" si="13"/>
        <v>0</v>
      </c>
      <c r="P168" s="321">
        <f t="shared" si="13"/>
        <v>0</v>
      </c>
      <c r="Q168" s="321">
        <f t="shared" si="13"/>
        <v>0</v>
      </c>
      <c r="R168" s="321">
        <f t="shared" si="13"/>
        <v>0</v>
      </c>
      <c r="S168" s="321">
        <f t="shared" si="13"/>
        <v>0</v>
      </c>
    </row>
    <row r="170" spans="3:19" x14ac:dyDescent="0.2">
      <c r="C170" s="322"/>
    </row>
    <row r="171" spans="3:19" ht="16" thickBot="1" x14ac:dyDescent="0.25">
      <c r="C171" s="322"/>
    </row>
    <row r="172" spans="3:19" x14ac:dyDescent="0.2">
      <c r="C172" s="314" t="s">
        <v>287</v>
      </c>
      <c r="D172" s="316">
        <f>SUM(E166:S166)</f>
        <v>0</v>
      </c>
    </row>
    <row r="173" spans="3:19" x14ac:dyDescent="0.2">
      <c r="C173" s="315" t="s">
        <v>310</v>
      </c>
      <c r="D173" s="317">
        <f>SUM(E167:S167)</f>
        <v>0</v>
      </c>
    </row>
    <row r="174" spans="3:19" ht="16" thickBot="1" x14ac:dyDescent="0.25">
      <c r="C174" s="313" t="s">
        <v>288</v>
      </c>
      <c r="D174" s="233">
        <f>SUM(E168:S168)</f>
        <v>0</v>
      </c>
    </row>
    <row r="176" spans="3:19" ht="16" thickBot="1" x14ac:dyDescent="0.25"/>
    <row r="177" spans="3:4" ht="17" thickBot="1" x14ac:dyDescent="0.25">
      <c r="C177" s="428" t="s">
        <v>395</v>
      </c>
      <c r="D177" s="153">
        <f>D109-D108-D104-D88</f>
        <v>0</v>
      </c>
    </row>
    <row r="178" spans="3:4" ht="16" thickBot="1" x14ac:dyDescent="0.25"/>
    <row r="179" spans="3:4" ht="17" thickBot="1" x14ac:dyDescent="0.25">
      <c r="C179" s="429" t="s">
        <v>397</v>
      </c>
      <c r="D179" s="153">
        <f>(D109-D88-D104-D108+G109)*3.5/(10^6)*25000</f>
        <v>0</v>
      </c>
    </row>
    <row r="180" spans="3:4" ht="16" thickBot="1" x14ac:dyDescent="0.25"/>
    <row r="181" spans="3:4" ht="17" thickBot="1" x14ac:dyDescent="0.25">
      <c r="C181" s="429" t="s">
        <v>396</v>
      </c>
      <c r="D181" s="153">
        <f>(D88-E128+D104)*5.7/(10^6)*25000</f>
        <v>0</v>
      </c>
    </row>
  </sheetData>
  <dataConsolidate/>
  <mergeCells count="32">
    <mergeCell ref="H27:H30"/>
    <mergeCell ref="E27:E30"/>
    <mergeCell ref="C43:C56"/>
    <mergeCell ref="F104:G104"/>
    <mergeCell ref="F44:F47"/>
    <mergeCell ref="F51:F53"/>
    <mergeCell ref="C122:D122"/>
    <mergeCell ref="F97:G97"/>
    <mergeCell ref="F90:G90"/>
    <mergeCell ref="C60:C61"/>
    <mergeCell ref="C65:C66"/>
    <mergeCell ref="D65:D66"/>
    <mergeCell ref="F83:G83"/>
    <mergeCell ref="F81:G81"/>
    <mergeCell ref="A5:A21"/>
    <mergeCell ref="C111:D111"/>
    <mergeCell ref="C7:C8"/>
    <mergeCell ref="C9:C12"/>
    <mergeCell ref="D44:D47"/>
    <mergeCell ref="D48:D50"/>
    <mergeCell ref="D51:D53"/>
    <mergeCell ref="D55:D56"/>
    <mergeCell ref="A25:B33"/>
    <mergeCell ref="A43:B66"/>
    <mergeCell ref="C27:C31"/>
    <mergeCell ref="C32:C33"/>
    <mergeCell ref="J43:J45"/>
    <mergeCell ref="K43:K46"/>
    <mergeCell ref="I43:I44"/>
    <mergeCell ref="I31:K33"/>
    <mergeCell ref="J27:J28"/>
    <mergeCell ref="K27:K29"/>
  </mergeCells>
  <dataValidations count="3">
    <dataValidation type="list" allowBlank="1" showInputMessage="1" showErrorMessage="1" sqref="G84 E25 E37 G107 E122 G43">
      <formula1>manut</formula1>
    </dataValidation>
    <dataValidation type="list" allowBlank="1" showInputMessage="1" showErrorMessage="1" sqref="R75">
      <formula1>Nome</formula1>
    </dataValidation>
    <dataValidation type="list" allowBlank="1" showInputMessage="1" showErrorMessage="1" sqref="I28:I30 J29:J30 K30 I45:I47 J46:J47 K47">
      <formula1>pacchetti</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01"/>
  <sheetViews>
    <sheetView topLeftCell="A139" zoomScale="80" zoomScaleNormal="80" zoomScalePageLayoutView="80" workbookViewId="0">
      <selection activeCell="D197" sqref="D197"/>
    </sheetView>
  </sheetViews>
  <sheetFormatPr baseColWidth="10" defaultColWidth="8.83203125" defaultRowHeight="15" x14ac:dyDescent="0.2"/>
  <cols>
    <col min="2" max="2" width="16.83203125" bestFit="1" customWidth="1"/>
    <col min="3" max="3" width="90" customWidth="1"/>
    <col min="4" max="4" width="62" bestFit="1" customWidth="1"/>
    <col min="5" max="5" width="80.6640625" customWidth="1"/>
    <col min="6" max="6" width="84.1640625" bestFit="1" customWidth="1"/>
    <col min="7" max="7" width="42.1640625" bestFit="1" customWidth="1"/>
    <col min="8" max="8" width="32.1640625" customWidth="1"/>
    <col min="9" max="9" width="41.1640625" customWidth="1"/>
    <col min="10" max="10" width="43.6640625" customWidth="1"/>
    <col min="11" max="11" width="27.5" customWidth="1"/>
    <col min="12" max="12" width="15.33203125" bestFit="1" customWidth="1"/>
    <col min="13" max="13" width="22.83203125" bestFit="1" customWidth="1"/>
    <col min="14" max="14" width="20.5" bestFit="1" customWidth="1"/>
    <col min="15" max="16" width="19.33203125" bestFit="1" customWidth="1"/>
    <col min="17" max="24" width="13.83203125" bestFit="1" customWidth="1"/>
  </cols>
  <sheetData>
    <row r="1" spans="1:16" ht="16" x14ac:dyDescent="0.2">
      <c r="B1" s="225" t="s">
        <v>247</v>
      </c>
      <c r="D1" s="424" t="s">
        <v>387</v>
      </c>
    </row>
    <row r="2" spans="1:16" x14ac:dyDescent="0.2">
      <c r="D2" s="425" t="s">
        <v>388</v>
      </c>
    </row>
    <row r="3" spans="1:16" x14ac:dyDescent="0.2">
      <c r="D3" s="77"/>
    </row>
    <row r="4" spans="1:16" ht="16" thickBot="1" x14ac:dyDescent="0.25">
      <c r="D4" s="77"/>
      <c r="H4" s="77"/>
      <c r="L4" s="166"/>
      <c r="O4" s="129"/>
      <c r="P4" s="130"/>
    </row>
    <row r="5" spans="1:16" x14ac:dyDescent="0.2">
      <c r="A5" s="491" t="s">
        <v>254</v>
      </c>
      <c r="B5" s="206" t="s">
        <v>28</v>
      </c>
      <c r="C5" s="206" t="s">
        <v>116</v>
      </c>
      <c r="D5" s="205" t="s">
        <v>250</v>
      </c>
      <c r="E5" s="206" t="s">
        <v>251</v>
      </c>
      <c r="F5" s="185" t="s">
        <v>252</v>
      </c>
      <c r="G5" s="206" t="s">
        <v>182</v>
      </c>
      <c r="H5" s="206" t="s">
        <v>253</v>
      </c>
      <c r="I5" s="206" t="s">
        <v>144</v>
      </c>
      <c r="J5" s="206" t="s">
        <v>145</v>
      </c>
      <c r="K5" s="206" t="s">
        <v>146</v>
      </c>
      <c r="L5" s="207" t="s">
        <v>147</v>
      </c>
      <c r="O5" s="131"/>
      <c r="P5" s="75"/>
    </row>
    <row r="6" spans="1:16" ht="14.5" customHeight="1" x14ac:dyDescent="0.2">
      <c r="A6" s="492"/>
      <c r="B6" s="274" t="s">
        <v>29</v>
      </c>
      <c r="C6" s="84" t="s">
        <v>97</v>
      </c>
      <c r="D6" s="217"/>
      <c r="E6" s="84">
        <f>'Dettaglio strade (ENEA)'!C6</f>
        <v>6</v>
      </c>
      <c r="F6" s="84"/>
      <c r="G6" s="84">
        <v>0.9</v>
      </c>
      <c r="H6" s="136"/>
      <c r="I6" s="84">
        <v>80</v>
      </c>
      <c r="J6" s="221"/>
      <c r="K6" s="219">
        <f>ROUNDDOWN(D6/'Dettaglio strade (ENEA)'!D6,0)</f>
        <v>0</v>
      </c>
      <c r="L6" s="84">
        <f>ROUNDUP(IF(ISNUMBER(J6),K6/J6,K6/I6),0)</f>
        <v>0</v>
      </c>
      <c r="O6" s="127"/>
      <c r="P6" s="75"/>
    </row>
    <row r="7" spans="1:16" x14ac:dyDescent="0.2">
      <c r="A7" s="492"/>
      <c r="B7" s="274" t="s">
        <v>103</v>
      </c>
      <c r="C7" s="448" t="s">
        <v>94</v>
      </c>
      <c r="D7" s="217"/>
      <c r="E7" s="84">
        <f>'Dettaglio strade (ENEA)'!C19</f>
        <v>7</v>
      </c>
      <c r="F7" s="84"/>
      <c r="G7" s="84">
        <v>1.1000000000000001</v>
      </c>
      <c r="H7" s="136"/>
      <c r="I7" s="84">
        <v>80</v>
      </c>
      <c r="J7" s="221"/>
      <c r="K7" s="219">
        <f>ROUNDDOWN(D7/'Dettaglio strade (ENEA)'!D19,0)</f>
        <v>0</v>
      </c>
      <c r="L7" s="84">
        <f>ROUNDUP(IF(ISNUMBER(J7),K7/J7,K7/I7),0)</f>
        <v>0</v>
      </c>
    </row>
    <row r="8" spans="1:16" x14ac:dyDescent="0.2">
      <c r="A8" s="492"/>
      <c r="B8" s="274" t="s">
        <v>104</v>
      </c>
      <c r="C8" s="448"/>
      <c r="D8" s="217"/>
      <c r="E8" s="84">
        <f>'Dettaglio strade (ENEA)'!C32+2*1.5</f>
        <v>10</v>
      </c>
      <c r="F8" s="84"/>
      <c r="G8" s="84">
        <v>1.1000000000000001</v>
      </c>
      <c r="H8" s="136"/>
      <c r="I8" s="84">
        <v>80</v>
      </c>
      <c r="J8" s="221"/>
      <c r="K8" s="219">
        <f>ROUNDDOWN(D8/'Dettaglio strade (ENEA)'!D32,0)</f>
        <v>0</v>
      </c>
      <c r="L8" s="84">
        <f t="shared" ref="L8:L15" si="0">ROUNDUP(IF(ISNUMBER(J8),K8/J8,K8/I8),0)</f>
        <v>0</v>
      </c>
    </row>
    <row r="9" spans="1:16" x14ac:dyDescent="0.2">
      <c r="A9" s="492"/>
      <c r="B9" s="274" t="s">
        <v>105</v>
      </c>
      <c r="C9" s="449" t="s">
        <v>82</v>
      </c>
      <c r="D9" s="217"/>
      <c r="E9" s="218">
        <f>'Dettaglio strade (ENEA)'!C46+2*1.5</f>
        <v>9</v>
      </c>
      <c r="F9" s="84"/>
      <c r="G9" s="218">
        <v>1.6</v>
      </c>
      <c r="H9" s="136"/>
      <c r="I9" s="84">
        <v>80</v>
      </c>
      <c r="J9" s="221"/>
      <c r="K9" s="219">
        <f>ROUNDDOWN(D9/'Dettaglio strade (ENEA)'!D46,0)</f>
        <v>0</v>
      </c>
      <c r="L9" s="84">
        <f t="shared" si="0"/>
        <v>0</v>
      </c>
    </row>
    <row r="10" spans="1:16" x14ac:dyDescent="0.2">
      <c r="A10" s="492"/>
      <c r="B10" s="274" t="s">
        <v>106</v>
      </c>
      <c r="C10" s="449"/>
      <c r="D10" s="217"/>
      <c r="E10" s="218">
        <f>'Dettaglio strade (ENEA)'!C60</f>
        <v>8</v>
      </c>
      <c r="F10" s="84"/>
      <c r="G10" s="218">
        <v>1.6</v>
      </c>
      <c r="H10" s="136"/>
      <c r="I10" s="84">
        <v>80</v>
      </c>
      <c r="J10" s="221"/>
      <c r="K10" s="219">
        <f>ROUNDDOWN(D10/'Dettaglio strade (ENEA)'!D60,0)</f>
        <v>0</v>
      </c>
      <c r="L10" s="84">
        <f t="shared" si="0"/>
        <v>0</v>
      </c>
    </row>
    <row r="11" spans="1:16" x14ac:dyDescent="0.2">
      <c r="A11" s="492"/>
      <c r="B11" s="274" t="s">
        <v>107</v>
      </c>
      <c r="C11" s="449"/>
      <c r="D11" s="217"/>
      <c r="E11" s="218">
        <f>'Dettaglio strade (ENEA)'!C73+'Dettaglio strade (ENEA)'!G73</f>
        <v>10</v>
      </c>
      <c r="F11" s="84"/>
      <c r="G11" s="218">
        <v>1.5</v>
      </c>
      <c r="H11" s="136"/>
      <c r="I11" s="84">
        <v>80</v>
      </c>
      <c r="J11" s="221"/>
      <c r="K11" s="219">
        <f>ROUNDDOWN(D11/'Dettaglio strade (ENEA)'!D73,0)</f>
        <v>0</v>
      </c>
      <c r="L11" s="84">
        <f t="shared" si="0"/>
        <v>0</v>
      </c>
    </row>
    <row r="12" spans="1:16" x14ac:dyDescent="0.2">
      <c r="A12" s="492"/>
      <c r="B12" s="274" t="s">
        <v>108</v>
      </c>
      <c r="C12" s="449"/>
      <c r="D12" s="217"/>
      <c r="E12" s="218">
        <f>'Dettaglio strade (ENEA)'!C87+2*1.5</f>
        <v>13</v>
      </c>
      <c r="F12" s="84"/>
      <c r="G12" s="218">
        <v>1.6</v>
      </c>
      <c r="H12" s="136"/>
      <c r="I12" s="84">
        <v>80</v>
      </c>
      <c r="J12" s="221"/>
      <c r="K12" s="219">
        <f>ROUNDDOWN(D12/'Dettaglio strade (ENEA)'!D87,0)</f>
        <v>0</v>
      </c>
      <c r="L12" s="84">
        <f t="shared" si="0"/>
        <v>0</v>
      </c>
    </row>
    <row r="13" spans="1:16" x14ac:dyDescent="0.2">
      <c r="A13" s="492"/>
      <c r="B13" s="274" t="s">
        <v>36</v>
      </c>
      <c r="C13" s="84" t="s">
        <v>44</v>
      </c>
      <c r="D13" s="217"/>
      <c r="E13" s="220">
        <f>('Dettaglio strade (ENEA)'!C99+2.5)*2</f>
        <v>19</v>
      </c>
      <c r="F13" s="84"/>
      <c r="G13" s="218">
        <v>2.4500000000000002</v>
      </c>
      <c r="H13" s="136"/>
      <c r="I13" s="84">
        <v>80</v>
      </c>
      <c r="J13" s="221"/>
      <c r="K13" s="219">
        <f>ROUNDDOWN(D13/'Dettaglio strade (ENEA)'!D99*2,0)</f>
        <v>0</v>
      </c>
      <c r="L13" s="84">
        <f t="shared" si="0"/>
        <v>0</v>
      </c>
    </row>
    <row r="14" spans="1:16" x14ac:dyDescent="0.2">
      <c r="A14" s="492"/>
      <c r="B14" s="274" t="s">
        <v>109</v>
      </c>
      <c r="C14" s="84" t="s">
        <v>74</v>
      </c>
      <c r="D14" s="217"/>
      <c r="E14" s="220">
        <f>'Dettaglio strade (ENEA)'!C114</f>
        <v>12</v>
      </c>
      <c r="F14" s="84"/>
      <c r="G14" s="218">
        <v>3.4</v>
      </c>
      <c r="H14" s="136"/>
      <c r="I14" s="84">
        <v>80</v>
      </c>
      <c r="J14" s="221"/>
      <c r="K14" s="219">
        <f>ROUNDDOWN(D14/'Dettaglio strade (ENEA)'!D114*2,0)</f>
        <v>0</v>
      </c>
      <c r="L14" s="84">
        <f t="shared" si="0"/>
        <v>0</v>
      </c>
    </row>
    <row r="15" spans="1:16" x14ac:dyDescent="0.2">
      <c r="A15" s="492"/>
      <c r="B15" s="274" t="s">
        <v>38</v>
      </c>
      <c r="C15" s="84" t="s">
        <v>44</v>
      </c>
      <c r="D15" s="217"/>
      <c r="E15" s="84">
        <f>'Dettaglio strade (ENEA)'!C129</f>
        <v>4</v>
      </c>
      <c r="F15" s="84"/>
      <c r="G15" s="84">
        <v>2.4300000000000002</v>
      </c>
      <c r="H15" s="136"/>
      <c r="I15" s="84">
        <v>80</v>
      </c>
      <c r="J15" s="221"/>
      <c r="K15" s="219">
        <f>ROUNDDOWN(D15/'Dettaglio strade (ENEA)'!D129,0)</f>
        <v>0</v>
      </c>
      <c r="L15" s="84">
        <f t="shared" si="0"/>
        <v>0</v>
      </c>
    </row>
    <row r="16" spans="1:16" x14ac:dyDescent="0.2">
      <c r="A16" s="492"/>
      <c r="B16" s="275"/>
      <c r="C16" s="84" t="s">
        <v>74</v>
      </c>
      <c r="D16" s="221"/>
      <c r="E16" s="222"/>
      <c r="F16" s="221"/>
      <c r="G16" s="218">
        <v>3.4</v>
      </c>
      <c r="H16" s="221"/>
      <c r="I16" s="84">
        <v>80</v>
      </c>
      <c r="J16" s="221"/>
      <c r="K16" s="218">
        <f>IFERROR(ROUNDDOWN(D16/F16,0),0)</f>
        <v>0</v>
      </c>
      <c r="L16" s="84">
        <f>ROUNDUP(IF(ISNUMBER(J16),K16/J16,K16/I16),0)</f>
        <v>0</v>
      </c>
    </row>
    <row r="17" spans="1:14" x14ac:dyDescent="0.2">
      <c r="A17" s="492"/>
      <c r="B17" s="275"/>
      <c r="C17" s="84" t="s">
        <v>44</v>
      </c>
      <c r="D17" s="221"/>
      <c r="E17" s="222"/>
      <c r="F17" s="221"/>
      <c r="G17" s="218">
        <v>2.4500000000000002</v>
      </c>
      <c r="H17" s="221"/>
      <c r="I17" s="84">
        <v>80</v>
      </c>
      <c r="J17" s="221"/>
      <c r="K17" s="218">
        <f>IFERROR(ROUNDDOWN(D17/F17,0),0)</f>
        <v>0</v>
      </c>
      <c r="L17" s="84">
        <f>ROUNDUP(IF(ISNUMBER(J17),K17/J17,K17/I17),0)</f>
        <v>0</v>
      </c>
    </row>
    <row r="18" spans="1:14" x14ac:dyDescent="0.2">
      <c r="A18" s="492"/>
      <c r="B18" s="275"/>
      <c r="C18" s="84" t="s">
        <v>82</v>
      </c>
      <c r="D18" s="221"/>
      <c r="E18" s="222"/>
      <c r="F18" s="221"/>
      <c r="G18" s="218">
        <v>1.6</v>
      </c>
      <c r="H18" s="221"/>
      <c r="I18" s="84">
        <v>80</v>
      </c>
      <c r="J18" s="221"/>
      <c r="K18" s="218">
        <f>IFERROR(ROUNDDOWN(D18/F18,0),0)</f>
        <v>0</v>
      </c>
      <c r="L18" s="84">
        <f t="shared" ref="L18:L20" si="1">ROUNDUP(IF(ISNUMBER(J18),K18/J18,K18/I18),0)</f>
        <v>0</v>
      </c>
    </row>
    <row r="19" spans="1:14" x14ac:dyDescent="0.2">
      <c r="A19" s="492"/>
      <c r="B19" s="275"/>
      <c r="C19" s="84" t="s">
        <v>94</v>
      </c>
      <c r="D19" s="221"/>
      <c r="E19" s="222"/>
      <c r="F19" s="221"/>
      <c r="G19" s="218">
        <v>1.1000000000000001</v>
      </c>
      <c r="H19" s="221"/>
      <c r="I19" s="84">
        <v>80</v>
      </c>
      <c r="J19" s="221"/>
      <c r="K19" s="218">
        <f>IFERROR(ROUNDDOWN(D19/F19,0),0)</f>
        <v>0</v>
      </c>
      <c r="L19" s="84">
        <f t="shared" si="1"/>
        <v>0</v>
      </c>
    </row>
    <row r="20" spans="1:14" x14ac:dyDescent="0.2">
      <c r="A20" s="492"/>
      <c r="B20" s="275"/>
      <c r="C20" s="84" t="s">
        <v>97</v>
      </c>
      <c r="D20" s="221"/>
      <c r="E20" s="222"/>
      <c r="F20" s="221"/>
      <c r="G20" s="218">
        <v>0.9</v>
      </c>
      <c r="H20" s="221"/>
      <c r="I20" s="84">
        <v>80</v>
      </c>
      <c r="J20" s="221"/>
      <c r="K20" s="218">
        <f>IFERROR(ROUNDDOWN(D20/F20,0),0)</f>
        <v>0</v>
      </c>
      <c r="L20" s="84">
        <f t="shared" si="1"/>
        <v>0</v>
      </c>
    </row>
    <row r="21" spans="1:14" ht="16" thickBot="1" x14ac:dyDescent="0.25">
      <c r="A21" s="493"/>
      <c r="B21" s="213"/>
      <c r="C21" s="213"/>
      <c r="D21" s="208">
        <f>SUM(D6:D20)</f>
        <v>0</v>
      </c>
      <c r="E21" s="209"/>
      <c r="F21" s="210"/>
      <c r="G21" s="210"/>
      <c r="H21" s="224">
        <f>SUM(H6:H20)</f>
        <v>0</v>
      </c>
      <c r="I21" s="213"/>
      <c r="J21" s="214"/>
      <c r="K21" s="215">
        <f>SUM(K6:K20)</f>
        <v>0</v>
      </c>
      <c r="L21" s="216">
        <f>SUM(L6:L20)</f>
        <v>0</v>
      </c>
    </row>
    <row r="22" spans="1:14" s="75" customFormat="1" x14ac:dyDescent="0.2">
      <c r="D22" s="170"/>
      <c r="E22" s="18"/>
      <c r="F22" s="18"/>
      <c r="G22" s="18"/>
      <c r="H22" s="92"/>
      <c r="I22" s="19"/>
      <c r="J22" s="19"/>
      <c r="K22" s="19"/>
      <c r="L22" s="19"/>
      <c r="M22" s="198"/>
      <c r="N22" s="17"/>
    </row>
    <row r="23" spans="1:14" s="75" customFormat="1" ht="16" thickBot="1" x14ac:dyDescent="0.25">
      <c r="E23" s="18"/>
      <c r="F23" s="18"/>
      <c r="G23" s="18"/>
      <c r="H23" s="92"/>
      <c r="I23" s="19"/>
      <c r="J23" s="19"/>
      <c r="K23" s="19"/>
      <c r="L23" s="19"/>
      <c r="M23" s="198"/>
      <c r="N23" s="17"/>
    </row>
    <row r="24" spans="1:14" s="75" customFormat="1" ht="16" thickBot="1" x14ac:dyDescent="0.25">
      <c r="D24" s="77" t="s">
        <v>260</v>
      </c>
      <c r="E24" s="18"/>
      <c r="F24" s="265" t="s">
        <v>264</v>
      </c>
      <c r="G24" s="18"/>
      <c r="H24" s="92"/>
      <c r="I24" s="19"/>
      <c r="J24" s="19"/>
      <c r="K24" s="19"/>
      <c r="L24" s="19"/>
      <c r="M24" s="198"/>
      <c r="N24" s="17"/>
    </row>
    <row r="25" spans="1:14" s="75" customFormat="1" ht="15" customHeight="1" thickBot="1" x14ac:dyDescent="0.25">
      <c r="A25" s="453" t="s">
        <v>308</v>
      </c>
      <c r="B25" s="454"/>
      <c r="C25" s="273" t="s">
        <v>263</v>
      </c>
      <c r="D25" s="261" t="s">
        <v>262</v>
      </c>
      <c r="E25" s="263" t="s">
        <v>119</v>
      </c>
      <c r="F25" s="264" t="str">
        <f>IF(AND(OR(F27&gt;0,F28&gt;0,F29&gt;0,F30&gt;0,F32&gt;0),E25="si"),"ATTENZIONE!! Non è possibile avere un impianto REG","ok")</f>
        <v>ok</v>
      </c>
      <c r="G25" t="s">
        <v>110</v>
      </c>
      <c r="H25" s="92"/>
      <c r="I25" s="19"/>
      <c r="J25" s="19"/>
      <c r="K25" s="19"/>
      <c r="L25" s="19"/>
      <c r="M25" s="198"/>
      <c r="N25" s="17"/>
    </row>
    <row r="26" spans="1:14" s="75" customFormat="1" ht="15" customHeight="1" thickBot="1" x14ac:dyDescent="0.25">
      <c r="A26" s="455"/>
      <c r="B26" s="456"/>
      <c r="C26"/>
      <c r="D26" s="149" t="s">
        <v>102</v>
      </c>
      <c r="E26" s="185" t="s">
        <v>149</v>
      </c>
      <c r="F26" s="185" t="s">
        <v>148</v>
      </c>
      <c r="G26" s="186" t="s">
        <v>179</v>
      </c>
      <c r="H26" s="271" t="s">
        <v>264</v>
      </c>
      <c r="I26" s="26" t="s">
        <v>359</v>
      </c>
      <c r="J26" s="26" t="s">
        <v>360</v>
      </c>
      <c r="K26" s="26" t="s">
        <v>361</v>
      </c>
      <c r="L26" s="19"/>
      <c r="M26" s="198"/>
      <c r="N26" s="17"/>
    </row>
    <row r="27" spans="1:14" s="75" customFormat="1" ht="14.5" customHeight="1" x14ac:dyDescent="0.2">
      <c r="A27" s="455"/>
      <c r="B27" s="456"/>
      <c r="C27" s="465" t="s">
        <v>256</v>
      </c>
      <c r="D27" s="188" t="s">
        <v>332</v>
      </c>
      <c r="E27" s="481" t="s">
        <v>178</v>
      </c>
      <c r="F27" s="135"/>
      <c r="G27" s="266">
        <f>F27*'Prezzi smart adaptive lighting'!$C$4</f>
        <v>0</v>
      </c>
      <c r="H27" s="505" t="str">
        <f>IF(OR($E$25="si",$F$32&gt;0),"non si può avere un impianto TAI","è possibile avere un impianto TAI")</f>
        <v>è possibile avere un impianto TAI</v>
      </c>
      <c r="I27" s="384" t="s">
        <v>362</v>
      </c>
      <c r="J27" s="436" t="s">
        <v>362</v>
      </c>
      <c r="K27" s="438" t="s">
        <v>362</v>
      </c>
      <c r="L27" s="19"/>
      <c r="M27" s="198"/>
      <c r="N27" s="17"/>
    </row>
    <row r="28" spans="1:14" s="75" customFormat="1" ht="14.5" customHeight="1" x14ac:dyDescent="0.2">
      <c r="A28" s="455"/>
      <c r="B28" s="456"/>
      <c r="C28" s="466"/>
      <c r="D28" s="189" t="s">
        <v>329</v>
      </c>
      <c r="E28" s="482"/>
      <c r="F28" s="136"/>
      <c r="G28" s="267">
        <f>F28*'Prezzi smart adaptive lighting'!$C$5</f>
        <v>0</v>
      </c>
      <c r="H28" s="505"/>
      <c r="I28" s="401" t="s">
        <v>317</v>
      </c>
      <c r="J28" s="441"/>
      <c r="K28" s="442"/>
      <c r="L28" s="19"/>
      <c r="M28" s="198"/>
      <c r="N28" s="17"/>
    </row>
    <row r="29" spans="1:14" s="75" customFormat="1" ht="14.5" customHeight="1" x14ac:dyDescent="0.2">
      <c r="A29" s="455"/>
      <c r="B29" s="456"/>
      <c r="C29" s="466"/>
      <c r="D29" s="189" t="s">
        <v>328</v>
      </c>
      <c r="E29" s="482"/>
      <c r="F29" s="136"/>
      <c r="G29" s="267">
        <f>F29*'Prezzi smart adaptive lighting'!$C$5</f>
        <v>0</v>
      </c>
      <c r="H29" s="505"/>
      <c r="I29" s="401" t="s">
        <v>317</v>
      </c>
      <c r="J29" s="401" t="s">
        <v>321</v>
      </c>
      <c r="K29" s="442"/>
      <c r="L29" s="19"/>
      <c r="M29" s="198"/>
      <c r="N29" s="17"/>
    </row>
    <row r="30" spans="1:14" s="75" customFormat="1" ht="15" customHeight="1" thickBot="1" x14ac:dyDescent="0.25">
      <c r="A30" s="455"/>
      <c r="B30" s="456"/>
      <c r="C30" s="466"/>
      <c r="D30" s="189" t="s">
        <v>330</v>
      </c>
      <c r="E30" s="483"/>
      <c r="F30" s="136"/>
      <c r="G30" s="267">
        <f>F30*'Prezzi smart adaptive lighting'!$C$5</f>
        <v>0</v>
      </c>
      <c r="H30" s="505"/>
      <c r="I30" s="401"/>
      <c r="J30" s="401"/>
      <c r="K30" s="401"/>
      <c r="L30" s="19"/>
      <c r="M30" s="198"/>
      <c r="N30" s="17"/>
    </row>
    <row r="31" spans="1:14" s="75" customFormat="1" ht="15" customHeight="1" thickBot="1" x14ac:dyDescent="0.25">
      <c r="A31" s="455"/>
      <c r="B31" s="456"/>
      <c r="C31" s="467"/>
      <c r="D31" s="167" t="s">
        <v>349</v>
      </c>
      <c r="E31" s="371" t="str">
        <f>IF(SUM(F27:F30)&gt;=H21,"ok","ATTENZIONE: #sensori &lt; #incocri, procedere comunque?")</f>
        <v>ok</v>
      </c>
      <c r="F31" s="372">
        <f>SUM(F27:F30)</f>
        <v>0</v>
      </c>
      <c r="G31" s="123">
        <f>SUM(G27:G30)</f>
        <v>0</v>
      </c>
      <c r="H31" s="389"/>
      <c r="I31" s="440" t="s">
        <v>362</v>
      </c>
      <c r="J31" s="440"/>
      <c r="K31" s="440"/>
      <c r="L31" s="19"/>
      <c r="M31" s="198"/>
      <c r="N31" s="17"/>
    </row>
    <row r="32" spans="1:14" s="75" customFormat="1" ht="16" thickBot="1" x14ac:dyDescent="0.25">
      <c r="A32" s="455"/>
      <c r="B32" s="456"/>
      <c r="C32" s="468" t="s">
        <v>255</v>
      </c>
      <c r="D32" s="257" t="s">
        <v>316</v>
      </c>
      <c r="E32" s="370" t="s">
        <v>178</v>
      </c>
      <c r="F32" s="136"/>
      <c r="G32" s="268">
        <f>F32*'Prezzi smart adaptive lighting'!C6</f>
        <v>0</v>
      </c>
      <c r="H32" s="295" t="str">
        <f>IF(OR($E$25="si",F27&gt;0,F28&gt;0,F29&gt;0,F30&gt;0),"non si può avere un impianto FAI","è possibile avere un impianto FAI")</f>
        <v>è possibile avere un impianto FAI</v>
      </c>
      <c r="I32" s="440"/>
      <c r="J32" s="440"/>
      <c r="K32" s="440"/>
      <c r="L32" s="19"/>
      <c r="M32" s="198"/>
      <c r="N32" s="17"/>
    </row>
    <row r="33" spans="1:14" s="75" customFormat="1" ht="16" thickBot="1" x14ac:dyDescent="0.25">
      <c r="A33" s="457"/>
      <c r="B33" s="458"/>
      <c r="C33" s="469"/>
      <c r="D33" s="167" t="s">
        <v>351</v>
      </c>
      <c r="E33" s="371" t="str">
        <f>IF(F33&gt;=H21,"ok","ATTENZIONE! #sensori &lt; #incroci, procedere comunque?")</f>
        <v>ok</v>
      </c>
      <c r="F33" s="168">
        <f>F32</f>
        <v>0</v>
      </c>
      <c r="G33" s="200">
        <f>G32</f>
        <v>0</v>
      </c>
      <c r="H33" s="389"/>
      <c r="I33" s="440"/>
      <c r="J33" s="440"/>
      <c r="K33" s="440"/>
      <c r="L33" s="19"/>
      <c r="M33" s="198"/>
      <c r="N33" s="17"/>
    </row>
    <row r="34" spans="1:14" s="75" customFormat="1" x14ac:dyDescent="0.2">
      <c r="C34" s="258"/>
      <c r="D34" s="14"/>
      <c r="E34" s="260"/>
      <c r="F34" s="161"/>
      <c r="G34" s="276"/>
      <c r="H34" s="277"/>
      <c r="I34" s="19"/>
      <c r="J34" s="19"/>
      <c r="K34" s="19"/>
      <c r="L34" s="19"/>
      <c r="M34" s="198"/>
      <c r="N34" s="17"/>
    </row>
    <row r="35" spans="1:14" s="75" customFormat="1" ht="16" thickBot="1" x14ac:dyDescent="0.25">
      <c r="D35" s="170"/>
      <c r="E35" s="18"/>
      <c r="F35" s="18"/>
      <c r="G35" s="18"/>
      <c r="H35" s="92"/>
      <c r="I35" s="19"/>
      <c r="J35" s="19"/>
      <c r="K35" s="19"/>
      <c r="L35" s="19"/>
      <c r="M35" s="198"/>
      <c r="N35" s="17"/>
    </row>
    <row r="36" spans="1:14" s="75" customFormat="1" ht="17" thickBot="1" x14ac:dyDescent="0.25">
      <c r="E36" s="270" t="s">
        <v>265</v>
      </c>
      <c r="F36" s="18"/>
      <c r="G36" s="18"/>
      <c r="H36" s="18"/>
      <c r="I36" s="92"/>
      <c r="J36" s="19"/>
      <c r="K36" s="19"/>
      <c r="L36" s="19"/>
      <c r="M36" s="198"/>
      <c r="N36" s="17"/>
    </row>
    <row r="37" spans="1:14" s="75" customFormat="1" ht="16" thickBot="1" x14ac:dyDescent="0.25">
      <c r="E37" s="305" t="s">
        <v>266</v>
      </c>
      <c r="F37" s="262" t="s">
        <v>119</v>
      </c>
      <c r="G37" s="18"/>
      <c r="H37" s="18"/>
      <c r="I37" s="92"/>
      <c r="J37" s="19"/>
      <c r="K37" s="19"/>
      <c r="L37" s="19"/>
      <c r="M37" s="198"/>
      <c r="N37" s="17"/>
    </row>
    <row r="38" spans="1:14" s="75" customFormat="1" ht="16" thickBot="1" x14ac:dyDescent="0.25">
      <c r="E38" s="306" t="s">
        <v>276</v>
      </c>
      <c r="F38" s="12"/>
      <c r="G38" s="18"/>
      <c r="H38" s="18"/>
      <c r="I38" s="92"/>
      <c r="J38" s="19"/>
      <c r="K38" s="19"/>
      <c r="L38" s="19"/>
      <c r="M38" s="198"/>
      <c r="N38" s="17"/>
    </row>
    <row r="39" spans="1:14" s="75" customFormat="1" ht="16" thickBot="1" x14ac:dyDescent="0.25">
      <c r="E39" s="307" t="str">
        <f>IF(F37="si","Qual è il costo TOTALE del software di telegestione presente?","NON COMPILARE QUESTO CAMPO")</f>
        <v>NON COMPILARE QUESTO CAMPO</v>
      </c>
      <c r="F39" s="294"/>
      <c r="G39" s="18"/>
      <c r="H39" s="18"/>
      <c r="I39" s="92"/>
      <c r="J39" s="19"/>
      <c r="K39" s="19"/>
      <c r="L39" s="19"/>
      <c r="M39" s="198"/>
      <c r="N39" s="17"/>
    </row>
    <row r="40" spans="1:14" s="75" customFormat="1" x14ac:dyDescent="0.2">
      <c r="E40" s="198"/>
      <c r="F40" s="18"/>
      <c r="G40" s="18"/>
      <c r="H40" s="18"/>
      <c r="I40" s="92"/>
      <c r="J40" s="19"/>
      <c r="K40" s="19"/>
      <c r="L40" s="19"/>
      <c r="M40" s="198"/>
      <c r="N40" s="17"/>
    </row>
    <row r="41" spans="1:14" s="75" customFormat="1" ht="16" thickBot="1" x14ac:dyDescent="0.25">
      <c r="E41" s="77" t="s">
        <v>261</v>
      </c>
      <c r="F41"/>
      <c r="G41"/>
      <c r="H41" t="s">
        <v>110</v>
      </c>
      <c r="I41" s="92"/>
      <c r="J41" s="19"/>
      <c r="K41" s="19"/>
      <c r="L41" s="19"/>
      <c r="M41" s="198"/>
      <c r="N41" s="17"/>
    </row>
    <row r="42" spans="1:14" ht="16" thickBot="1" x14ac:dyDescent="0.25">
      <c r="E42" s="149" t="s">
        <v>102</v>
      </c>
      <c r="F42" s="185" t="s">
        <v>149</v>
      </c>
      <c r="G42" s="185" t="s">
        <v>148</v>
      </c>
      <c r="H42" s="186" t="s">
        <v>179</v>
      </c>
      <c r="I42" s="26" t="s">
        <v>359</v>
      </c>
      <c r="J42" s="26" t="s">
        <v>360</v>
      </c>
      <c r="K42" s="26" t="s">
        <v>361</v>
      </c>
    </row>
    <row r="43" spans="1:14" ht="15" customHeight="1" thickBot="1" x14ac:dyDescent="0.25">
      <c r="A43" s="499" t="s">
        <v>350</v>
      </c>
      <c r="B43" s="500"/>
      <c r="C43" s="465" t="s">
        <v>257</v>
      </c>
      <c r="D43" s="391" t="s">
        <v>228</v>
      </c>
      <c r="E43" s="392" t="s">
        <v>364</v>
      </c>
      <c r="F43" s="84" t="s">
        <v>363</v>
      </c>
      <c r="G43" s="136" t="s">
        <v>119</v>
      </c>
      <c r="H43" s="394"/>
      <c r="I43" s="438" t="s">
        <v>362</v>
      </c>
      <c r="J43" s="436" t="s">
        <v>362</v>
      </c>
      <c r="K43" s="438" t="s">
        <v>362</v>
      </c>
    </row>
    <row r="44" spans="1:14" ht="14.5" customHeight="1" x14ac:dyDescent="0.2">
      <c r="A44" s="501"/>
      <c r="B44" s="502"/>
      <c r="C44" s="466"/>
      <c r="D44" s="476" t="s">
        <v>336</v>
      </c>
      <c r="E44" s="393" t="s">
        <v>209</v>
      </c>
      <c r="F44" s="482" t="s">
        <v>178</v>
      </c>
      <c r="G44" s="380"/>
      <c r="H44" s="381">
        <f>G44*'Prezzi smart adaptive lighting'!$C$4</f>
        <v>0</v>
      </c>
      <c r="I44" s="442"/>
      <c r="J44" s="437"/>
      <c r="K44" s="439"/>
      <c r="L44" s="256" t="s">
        <v>259</v>
      </c>
    </row>
    <row r="45" spans="1:14" ht="14.5" customHeight="1" x14ac:dyDescent="0.2">
      <c r="A45" s="501"/>
      <c r="B45" s="502"/>
      <c r="C45" s="466"/>
      <c r="D45" s="494"/>
      <c r="E45" s="279" t="s">
        <v>329</v>
      </c>
      <c r="F45" s="482"/>
      <c r="G45" s="136"/>
      <c r="H45" s="227">
        <f>G45*'Prezzi smart adaptive lighting'!$C$5</f>
        <v>0</v>
      </c>
      <c r="I45" s="401" t="s">
        <v>317</v>
      </c>
      <c r="J45" s="437"/>
      <c r="K45" s="439"/>
      <c r="L45" s="256" t="s">
        <v>259</v>
      </c>
    </row>
    <row r="46" spans="1:14" ht="14.5" customHeight="1" x14ac:dyDescent="0.2">
      <c r="A46" s="501"/>
      <c r="B46" s="502"/>
      <c r="C46" s="466"/>
      <c r="D46" s="494"/>
      <c r="E46" s="279" t="s">
        <v>328</v>
      </c>
      <c r="F46" s="482"/>
      <c r="G46" s="136"/>
      <c r="H46" s="227">
        <f>G46*'Prezzi smart adaptive lighting'!$C$5</f>
        <v>0</v>
      </c>
      <c r="I46" s="401" t="s">
        <v>317</v>
      </c>
      <c r="J46" s="401" t="s">
        <v>321</v>
      </c>
      <c r="K46" s="439"/>
      <c r="L46" s="256" t="s">
        <v>259</v>
      </c>
    </row>
    <row r="47" spans="1:14" ht="15" customHeight="1" thickBot="1" x14ac:dyDescent="0.25">
      <c r="A47" s="501"/>
      <c r="B47" s="502"/>
      <c r="C47" s="466"/>
      <c r="D47" s="477"/>
      <c r="E47" s="279" t="s">
        <v>330</v>
      </c>
      <c r="F47" s="487"/>
      <c r="G47" s="136"/>
      <c r="H47" s="227">
        <f>G47*'Prezzi smart adaptive lighting'!$C$5</f>
        <v>0</v>
      </c>
      <c r="I47" s="401"/>
      <c r="J47" s="401"/>
      <c r="K47" s="401"/>
      <c r="L47" s="256" t="s">
        <v>259</v>
      </c>
    </row>
    <row r="48" spans="1:14" ht="14.5" customHeight="1" x14ac:dyDescent="0.2">
      <c r="A48" s="501"/>
      <c r="B48" s="502"/>
      <c r="C48" s="466"/>
      <c r="D48" s="450" t="s">
        <v>338</v>
      </c>
      <c r="E48" s="189" t="s">
        <v>195</v>
      </c>
      <c r="F48" s="187" t="s">
        <v>234</v>
      </c>
      <c r="G48" s="136"/>
      <c r="H48" s="228">
        <f>G48*'Prezzi servizi "smart"'!$C$17</f>
        <v>0</v>
      </c>
      <c r="I48" s="395"/>
      <c r="J48" s="395"/>
      <c r="K48" s="395"/>
    </row>
    <row r="49" spans="1:11" ht="30" x14ac:dyDescent="0.2">
      <c r="A49" s="501"/>
      <c r="B49" s="502"/>
      <c r="C49" s="466"/>
      <c r="D49" s="451"/>
      <c r="E49" s="196" t="s">
        <v>331</v>
      </c>
      <c r="F49" s="197" t="s">
        <v>235</v>
      </c>
      <c r="G49" s="136"/>
      <c r="H49" s="229">
        <f>G49*'Prezzi servizi "smart"'!$C$18</f>
        <v>0</v>
      </c>
      <c r="I49" s="395"/>
      <c r="J49" s="395"/>
      <c r="K49" s="395"/>
    </row>
    <row r="50" spans="1:11" ht="15" customHeight="1" thickBot="1" x14ac:dyDescent="0.25">
      <c r="A50" s="501"/>
      <c r="B50" s="502"/>
      <c r="C50" s="466"/>
      <c r="D50" s="452"/>
      <c r="E50" s="191" t="s">
        <v>192</v>
      </c>
      <c r="F50" s="187" t="s">
        <v>236</v>
      </c>
      <c r="G50" s="136"/>
      <c r="H50" s="228">
        <f>G50*'Prezzi servizi "smart"'!$C$19</f>
        <v>0</v>
      </c>
      <c r="I50" s="395"/>
      <c r="J50" s="395"/>
      <c r="K50" s="395"/>
    </row>
    <row r="51" spans="1:11" ht="14.5" customHeight="1" x14ac:dyDescent="0.2">
      <c r="A51" s="501"/>
      <c r="B51" s="502"/>
      <c r="C51" s="466"/>
      <c r="D51" s="450" t="s">
        <v>339</v>
      </c>
      <c r="E51" s="189" t="s">
        <v>333</v>
      </c>
      <c r="F51" s="488" t="s">
        <v>237</v>
      </c>
      <c r="G51" s="136"/>
      <c r="H51" s="228">
        <f>G51*'Prezzi servizi "smart"'!$C$25</f>
        <v>0</v>
      </c>
      <c r="I51" s="400"/>
      <c r="J51" s="383"/>
      <c r="K51" s="383"/>
    </row>
    <row r="52" spans="1:11" ht="14.5" customHeight="1" x14ac:dyDescent="0.2">
      <c r="A52" s="501"/>
      <c r="B52" s="502"/>
      <c r="C52" s="466"/>
      <c r="D52" s="451"/>
      <c r="E52" s="189" t="s">
        <v>186</v>
      </c>
      <c r="F52" s="489"/>
      <c r="G52" s="136"/>
      <c r="H52" s="228">
        <f>'Prezzi servizi "smart"'!$C$26*G52</f>
        <v>0</v>
      </c>
      <c r="I52" s="400"/>
      <c r="J52" s="383"/>
      <c r="K52" s="383"/>
    </row>
    <row r="53" spans="1:11" ht="15" customHeight="1" thickBot="1" x14ac:dyDescent="0.25">
      <c r="A53" s="501"/>
      <c r="B53" s="502"/>
      <c r="C53" s="466"/>
      <c r="D53" s="452"/>
      <c r="E53" s="191" t="s">
        <v>206</v>
      </c>
      <c r="F53" s="490"/>
      <c r="G53" s="136"/>
      <c r="H53" s="228">
        <f>G53*'Prezzi servizi "smart"'!$C$27</f>
        <v>0</v>
      </c>
      <c r="I53" s="400"/>
      <c r="J53" s="383"/>
      <c r="K53" s="383"/>
    </row>
    <row r="54" spans="1:11" ht="24" customHeight="1" thickBot="1" x14ac:dyDescent="0.25">
      <c r="A54" s="501"/>
      <c r="B54" s="502"/>
      <c r="C54" s="466"/>
      <c r="D54" s="348" t="s">
        <v>340</v>
      </c>
      <c r="E54" s="196" t="s">
        <v>297</v>
      </c>
      <c r="F54" s="353" t="s">
        <v>275</v>
      </c>
      <c r="G54" s="136"/>
      <c r="H54" s="328">
        <f>G54*'Prezzi servizi "smart"'!$H$11</f>
        <v>0</v>
      </c>
      <c r="I54" s="400"/>
      <c r="J54" s="383"/>
      <c r="K54" s="383"/>
    </row>
    <row r="55" spans="1:11" ht="14.5" customHeight="1" x14ac:dyDescent="0.2">
      <c r="A55" s="501"/>
      <c r="B55" s="502"/>
      <c r="C55" s="466"/>
      <c r="D55" s="450" t="s">
        <v>341</v>
      </c>
      <c r="E55" s="189" t="s">
        <v>208</v>
      </c>
      <c r="F55" s="204" t="s">
        <v>238</v>
      </c>
      <c r="G55" s="136"/>
      <c r="H55" s="228">
        <f>G55*'Prezzi servizi "smart"'!$C$33</f>
        <v>0</v>
      </c>
      <c r="I55" s="400"/>
      <c r="J55" s="383"/>
      <c r="K55" s="383"/>
    </row>
    <row r="56" spans="1:11" ht="15" customHeight="1" thickBot="1" x14ac:dyDescent="0.25">
      <c r="A56" s="501"/>
      <c r="B56" s="502"/>
      <c r="C56" s="467"/>
      <c r="D56" s="452"/>
      <c r="E56" s="189" t="s">
        <v>200</v>
      </c>
      <c r="F56" s="204" t="s">
        <v>239</v>
      </c>
      <c r="G56" s="136"/>
      <c r="H56" s="228">
        <f>G56*'Prezzi servizi "smart"'!$C$27</f>
        <v>0</v>
      </c>
      <c r="I56" s="400"/>
      <c r="J56" s="383"/>
      <c r="K56" s="383"/>
    </row>
    <row r="57" spans="1:11" ht="15" customHeight="1" thickBot="1" x14ac:dyDescent="0.25">
      <c r="A57" s="501"/>
      <c r="B57" s="502"/>
      <c r="C57" s="337"/>
      <c r="E57" s="199" t="s">
        <v>115</v>
      </c>
      <c r="F57" s="183"/>
      <c r="G57" s="168">
        <f>SUM(G44:G56)</f>
        <v>0</v>
      </c>
      <c r="H57" s="123">
        <f>SUM(H44:H56)</f>
        <v>0</v>
      </c>
      <c r="I57" s="400"/>
      <c r="J57" s="383"/>
      <c r="K57" s="383"/>
    </row>
    <row r="58" spans="1:11" ht="15" customHeight="1" thickBot="1" x14ac:dyDescent="0.25">
      <c r="A58" s="501"/>
      <c r="B58" s="502"/>
      <c r="C58" s="337"/>
      <c r="D58" s="12"/>
      <c r="I58" s="18"/>
    </row>
    <row r="59" spans="1:11" ht="15" customHeight="1" thickBot="1" x14ac:dyDescent="0.25">
      <c r="A59" s="501"/>
      <c r="B59" s="502"/>
      <c r="D59" s="12"/>
      <c r="E59" s="25" t="s">
        <v>102</v>
      </c>
      <c r="F59" s="26" t="s">
        <v>149</v>
      </c>
      <c r="G59" s="26" t="s">
        <v>148</v>
      </c>
      <c r="H59" s="27" t="s">
        <v>179</v>
      </c>
      <c r="I59" s="18"/>
    </row>
    <row r="60" spans="1:11" ht="24" customHeight="1" thickBot="1" x14ac:dyDescent="0.25">
      <c r="A60" s="501"/>
      <c r="B60" s="502"/>
      <c r="C60" s="497" t="s">
        <v>258</v>
      </c>
      <c r="D60" s="336" t="s">
        <v>340</v>
      </c>
      <c r="E60" s="181" t="s">
        <v>207</v>
      </c>
      <c r="F60" s="353" t="s">
        <v>275</v>
      </c>
      <c r="G60" s="116"/>
      <c r="H60" s="231">
        <f>G60*'Prezzi servizi "smart"'!$H$12</f>
        <v>0</v>
      </c>
      <c r="I60" s="127"/>
    </row>
    <row r="61" spans="1:11" ht="24" customHeight="1" thickBot="1" x14ac:dyDescent="0.25">
      <c r="A61" s="501"/>
      <c r="B61" s="502"/>
      <c r="C61" s="498"/>
      <c r="D61" s="336" t="s">
        <v>344</v>
      </c>
      <c r="E61" s="180" t="s">
        <v>187</v>
      </c>
      <c r="F61" s="359" t="s">
        <v>242</v>
      </c>
      <c r="G61" s="116"/>
      <c r="H61" s="232">
        <f>G61*'Prezzi servizi "smart"'!$H$17</f>
        <v>0</v>
      </c>
      <c r="I61" s="18"/>
    </row>
    <row r="62" spans="1:11" ht="15" customHeight="1" thickBot="1" x14ac:dyDescent="0.25">
      <c r="A62" s="501"/>
      <c r="B62" s="502"/>
      <c r="C62" s="349"/>
      <c r="E62" s="167" t="s">
        <v>115</v>
      </c>
      <c r="F62" s="183"/>
      <c r="G62" s="168">
        <f>SUM(G60:G61)</f>
        <v>0</v>
      </c>
      <c r="H62" s="200">
        <f>SUM(H60:H61)</f>
        <v>0</v>
      </c>
      <c r="I62" s="18"/>
    </row>
    <row r="63" spans="1:11" ht="15" customHeight="1" thickBot="1" x14ac:dyDescent="0.25">
      <c r="A63" s="501"/>
      <c r="B63" s="502"/>
      <c r="C63" s="349"/>
      <c r="I63" s="18"/>
    </row>
    <row r="64" spans="1:11" ht="15" customHeight="1" thickBot="1" x14ac:dyDescent="0.25">
      <c r="A64" s="501"/>
      <c r="B64" s="502"/>
      <c r="C64" s="349"/>
      <c r="E64" s="25" t="s">
        <v>102</v>
      </c>
      <c r="F64" s="26" t="s">
        <v>149</v>
      </c>
      <c r="G64" s="26" t="s">
        <v>148</v>
      </c>
      <c r="H64" s="27" t="s">
        <v>179</v>
      </c>
      <c r="I64" s="18"/>
    </row>
    <row r="65" spans="1:14" ht="14.5" customHeight="1" x14ac:dyDescent="0.2">
      <c r="A65" s="501"/>
      <c r="B65" s="502"/>
      <c r="C65" s="497" t="s">
        <v>342</v>
      </c>
      <c r="D65" s="495" t="s">
        <v>343</v>
      </c>
      <c r="E65" s="344" t="s">
        <v>193</v>
      </c>
      <c r="F65" s="345" t="s">
        <v>240</v>
      </c>
      <c r="G65" s="135"/>
      <c r="H65" s="346">
        <f>G65*'Prezzi servizi "smart"'!$H$4</f>
        <v>0</v>
      </c>
      <c r="I65" s="18"/>
    </row>
    <row r="66" spans="1:14" ht="15" customHeight="1" thickBot="1" x14ac:dyDescent="0.25">
      <c r="A66" s="503"/>
      <c r="B66" s="504"/>
      <c r="C66" s="498"/>
      <c r="D66" s="496"/>
      <c r="E66" s="190" t="s">
        <v>194</v>
      </c>
      <c r="F66" s="347" t="s">
        <v>236</v>
      </c>
      <c r="G66" s="171"/>
      <c r="H66" s="230">
        <f>G66*'Prezzi servizi "smart"'!$H$5</f>
        <v>0</v>
      </c>
      <c r="I66" s="18"/>
    </row>
    <row r="67" spans="1:14" ht="16" thickBot="1" x14ac:dyDescent="0.25">
      <c r="E67" s="167" t="s">
        <v>115</v>
      </c>
      <c r="F67" s="183"/>
      <c r="G67" s="168">
        <f>SUM(G65:G66)</f>
        <v>0</v>
      </c>
      <c r="H67" s="200">
        <f>SUM(H65:H66)</f>
        <v>0</v>
      </c>
    </row>
    <row r="69" spans="1:14" x14ac:dyDescent="0.2">
      <c r="C69" s="296" t="s">
        <v>22</v>
      </c>
      <c r="D69" s="297"/>
    </row>
    <row r="70" spans="1:14" x14ac:dyDescent="0.2">
      <c r="C70" s="178" t="s">
        <v>25</v>
      </c>
      <c r="D70" s="184">
        <f>K21</f>
        <v>0</v>
      </c>
    </row>
    <row r="71" spans="1:14" x14ac:dyDescent="0.2">
      <c r="C71" s="175" t="s">
        <v>24</v>
      </c>
      <c r="D71" s="182">
        <f>L21</f>
        <v>0</v>
      </c>
    </row>
    <row r="72" spans="1:14" x14ac:dyDescent="0.2">
      <c r="C72" s="175" t="s">
        <v>299</v>
      </c>
      <c r="D72" s="201">
        <f>SUM(F27:F30)</f>
        <v>0</v>
      </c>
    </row>
    <row r="73" spans="1:14" x14ac:dyDescent="0.2">
      <c r="C73" s="175" t="s">
        <v>267</v>
      </c>
      <c r="D73" s="182">
        <f>F32</f>
        <v>0</v>
      </c>
    </row>
    <row r="74" spans="1:14" x14ac:dyDescent="0.2">
      <c r="C74" s="16" t="s">
        <v>226</v>
      </c>
      <c r="D74" s="182">
        <f>IF(G43="si",L21,0)</f>
        <v>0</v>
      </c>
      <c r="E74" s="18"/>
      <c r="F74" s="18"/>
      <c r="G74" s="18"/>
      <c r="H74" s="18"/>
      <c r="I74" s="18"/>
      <c r="J74" s="18"/>
    </row>
    <row r="75" spans="1:14" x14ac:dyDescent="0.2">
      <c r="C75" s="175" t="s">
        <v>300</v>
      </c>
      <c r="D75" s="201">
        <f>SUM(G44:G47)</f>
        <v>0</v>
      </c>
      <c r="J75" s="86"/>
      <c r="K75" s="86"/>
      <c r="L75" s="86"/>
      <c r="M75" s="86"/>
      <c r="N75" s="86"/>
    </row>
    <row r="76" spans="1:14" x14ac:dyDescent="0.2">
      <c r="C76" s="16" t="s">
        <v>216</v>
      </c>
      <c r="D76" s="182">
        <f>G48+G49</f>
        <v>0</v>
      </c>
      <c r="J76" s="86"/>
      <c r="K76" s="96"/>
      <c r="L76" s="96"/>
      <c r="M76" s="96"/>
      <c r="N76" s="95"/>
    </row>
    <row r="77" spans="1:14" x14ac:dyDescent="0.2">
      <c r="C77" s="16" t="s">
        <v>218</v>
      </c>
      <c r="D77" s="182">
        <f>G50</f>
        <v>0</v>
      </c>
      <c r="I77" s="86"/>
      <c r="J77" s="95"/>
      <c r="K77" s="95"/>
      <c r="L77" s="95"/>
      <c r="M77" s="95"/>
    </row>
    <row r="78" spans="1:14" x14ac:dyDescent="0.2">
      <c r="C78" s="16" t="s">
        <v>211</v>
      </c>
      <c r="D78" s="182">
        <f>SUM(G51:G53)</f>
        <v>0</v>
      </c>
      <c r="I78" s="86"/>
      <c r="J78" s="95"/>
      <c r="K78" s="95"/>
      <c r="L78" s="95"/>
      <c r="M78" s="95"/>
    </row>
    <row r="79" spans="1:14" x14ac:dyDescent="0.2">
      <c r="C79" s="16" t="s">
        <v>212</v>
      </c>
      <c r="D79" s="182">
        <f>G55</f>
        <v>0</v>
      </c>
      <c r="I79" s="86"/>
      <c r="J79" s="95"/>
      <c r="K79" s="95"/>
      <c r="L79" s="95"/>
      <c r="M79" s="95"/>
    </row>
    <row r="80" spans="1:14" x14ac:dyDescent="0.2">
      <c r="C80" s="16" t="s">
        <v>213</v>
      </c>
      <c r="D80" s="182">
        <f>G56</f>
        <v>0</v>
      </c>
      <c r="I80" s="91"/>
      <c r="J80" s="88"/>
      <c r="K80" s="87"/>
      <c r="L80" s="87"/>
      <c r="M80" s="95"/>
    </row>
    <row r="81" spans="3:13" x14ac:dyDescent="0.2">
      <c r="C81" s="16" t="s">
        <v>210</v>
      </c>
      <c r="D81" s="182">
        <f>G65</f>
        <v>0</v>
      </c>
      <c r="I81" s="89"/>
      <c r="J81" s="89"/>
      <c r="K81" s="89"/>
      <c r="L81" s="89"/>
      <c r="M81" s="95"/>
    </row>
    <row r="82" spans="3:13" x14ac:dyDescent="0.2">
      <c r="C82" s="16" t="s">
        <v>298</v>
      </c>
      <c r="D82" s="182">
        <f>G60+G54</f>
        <v>0</v>
      </c>
      <c r="I82" s="90"/>
      <c r="J82" s="96"/>
      <c r="K82" s="96"/>
      <c r="L82" s="90"/>
      <c r="M82" s="95"/>
    </row>
    <row r="83" spans="3:13" x14ac:dyDescent="0.2">
      <c r="C83" s="175" t="s">
        <v>217</v>
      </c>
      <c r="D83" s="182">
        <f>G61</f>
        <v>0</v>
      </c>
      <c r="F83" s="446" t="s">
        <v>138</v>
      </c>
      <c r="G83" s="447"/>
      <c r="I83" s="90"/>
      <c r="J83" s="95"/>
      <c r="K83" s="95"/>
      <c r="L83" s="90"/>
      <c r="M83" s="95"/>
    </row>
    <row r="84" spans="3:13" x14ac:dyDescent="0.2">
      <c r="C84" s="179" t="s">
        <v>214</v>
      </c>
      <c r="D84" s="4">
        <f>G66</f>
        <v>0</v>
      </c>
      <c r="I84" s="90"/>
      <c r="J84" s="95"/>
      <c r="K84" s="95"/>
      <c r="L84" s="90"/>
      <c r="M84" s="95"/>
    </row>
    <row r="85" spans="3:13" x14ac:dyDescent="0.2">
      <c r="F85" s="472" t="s">
        <v>122</v>
      </c>
      <c r="G85" s="473"/>
      <c r="I85" s="90"/>
      <c r="J85" s="95"/>
      <c r="K85" s="95"/>
      <c r="L85" s="90"/>
      <c r="M85" s="95"/>
    </row>
    <row r="86" spans="3:13" x14ac:dyDescent="0.2">
      <c r="C86" s="296" t="s">
        <v>18</v>
      </c>
      <c r="D86" s="297"/>
      <c r="F86" s="22" t="s">
        <v>137</v>
      </c>
      <c r="G86" s="125">
        <f>G87*(1-G88)</f>
        <v>0</v>
      </c>
      <c r="I86" s="90"/>
      <c r="J86" s="90"/>
      <c r="K86" s="90"/>
      <c r="L86" s="90"/>
      <c r="M86" s="86"/>
    </row>
    <row r="87" spans="3:13" x14ac:dyDescent="0.2">
      <c r="C87" s="20" t="s">
        <v>20</v>
      </c>
      <c r="D87" s="103">
        <f>'Prezzi smart adaptive lighting'!$F$19*(D70)+F27*'Prezzi smart adaptive lighting'!F20+SUM('Project Financing'!F28:F30)*'Prezzi smart adaptive lighting'!F21+D73*'Prezzi smart adaptive lighting'!F22+G44*'Prezzi servizi "smart"'!$D$9+SUM(G45:G47)*'Prezzi servizi "smart"'!$D$10+G49*'Prezzi servizi "smart"'!$D$18+G48*'Prezzi servizi "smart"'!$D$17+D77*'Prezzi servizi "smart"'!$D$19+G51*'Prezzi servizi "smart"'!$D$25+G52*'Prezzi servizi "smart"'!$D$26+G53*'Prezzi servizi "smart"'!$D$27+D79*'Prezzi servizi "smart"'!$D$33+D80*'Prezzi servizi "smart"'!$D$34+D81*'Prezzi servizi "smart"'!$I$4+G54*'Prezzi servizi "smart"'!$I$11+G60*'Prezzi servizi "smart"'!$I$12+D83*'Prezzi servizi "smart"'!$I$17+D84*'Prezzi servizi "smart"'!$I$5</f>
        <v>0</v>
      </c>
      <c r="F87" s="1" t="s">
        <v>135</v>
      </c>
      <c r="G87" s="79">
        <f>'Prezzi smart adaptive lighting'!F15*D70</f>
        <v>0</v>
      </c>
      <c r="I87" s="90"/>
      <c r="J87" s="90"/>
      <c r="K87" s="90"/>
      <c r="L87" s="90"/>
      <c r="M87" s="86"/>
    </row>
    <row r="88" spans="3:13" x14ac:dyDescent="0.2">
      <c r="C88" s="1" t="s">
        <v>125</v>
      </c>
      <c r="D88" s="104">
        <f>D70*'Prezzi smart adaptive lighting'!$F$4</f>
        <v>0</v>
      </c>
      <c r="F88" s="22" t="s">
        <v>21</v>
      </c>
      <c r="G88" s="120">
        <f>IF(E25="si",10%,IF(OR(F27&gt;0,F28&gt;0,F29&gt;0,F30&gt;0,F32&gt;0),10%,0))</f>
        <v>0</v>
      </c>
      <c r="I88" s="19"/>
      <c r="J88" s="19"/>
      <c r="K88" s="19"/>
      <c r="L88" s="19"/>
    </row>
    <row r="89" spans="3:13" x14ac:dyDescent="0.2">
      <c r="C89" s="93" t="s">
        <v>127</v>
      </c>
      <c r="D89" s="104">
        <f>D71*'Prezzi smart adaptive lighting'!$F$5</f>
        <v>0</v>
      </c>
      <c r="I89" s="19"/>
      <c r="J89" s="19"/>
      <c r="K89" s="19"/>
      <c r="L89" s="19"/>
    </row>
    <row r="90" spans="3:13" x14ac:dyDescent="0.2">
      <c r="C90" s="93" t="s">
        <v>301</v>
      </c>
      <c r="D90" s="104">
        <f>SUM(G27:G30)</f>
        <v>0</v>
      </c>
      <c r="F90" s="472" t="s">
        <v>23</v>
      </c>
      <c r="G90" s="473"/>
      <c r="I90" s="19"/>
      <c r="J90" s="19"/>
      <c r="K90" s="19"/>
      <c r="L90" s="19"/>
    </row>
    <row r="91" spans="3:13" x14ac:dyDescent="0.2">
      <c r="C91" s="93" t="s">
        <v>302</v>
      </c>
      <c r="D91" s="104">
        <f>SUM(H44:H47)</f>
        <v>0</v>
      </c>
      <c r="F91" s="20" t="s">
        <v>117</v>
      </c>
      <c r="G91" s="97">
        <v>0.14000000000000001</v>
      </c>
      <c r="I91" s="19"/>
      <c r="J91" s="19"/>
      <c r="K91" s="19"/>
      <c r="L91" s="19"/>
    </row>
    <row r="92" spans="3:13" x14ac:dyDescent="0.2">
      <c r="C92" s="93" t="s">
        <v>268</v>
      </c>
      <c r="D92" s="79">
        <f>G32</f>
        <v>0</v>
      </c>
      <c r="F92" s="22" t="s">
        <v>129</v>
      </c>
      <c r="G92" s="24">
        <f>G93*(1+G95)</f>
        <v>0</v>
      </c>
      <c r="I92" s="19"/>
      <c r="J92" s="19"/>
      <c r="K92" s="19"/>
      <c r="L92" s="19"/>
    </row>
    <row r="93" spans="3:13" x14ac:dyDescent="0.2">
      <c r="C93" s="76" t="s">
        <v>227</v>
      </c>
      <c r="D93" s="194">
        <f>D74*'Prezzi servizi "smart"'!$C$4</f>
        <v>0</v>
      </c>
      <c r="F93" s="21" t="s">
        <v>130</v>
      </c>
      <c r="G93" s="81">
        <f>SUMPRODUCT(D6:D20,E6:E20,G6:G20)</f>
        <v>0</v>
      </c>
      <c r="I93" s="19"/>
      <c r="J93" s="19"/>
      <c r="K93" s="19"/>
      <c r="L93" s="19"/>
    </row>
    <row r="94" spans="3:13" x14ac:dyDescent="0.2">
      <c r="C94" s="76" t="s">
        <v>219</v>
      </c>
      <c r="D94" s="79">
        <f>H48+H49</f>
        <v>0</v>
      </c>
      <c r="F94" s="311" t="s">
        <v>284</v>
      </c>
      <c r="G94" s="301">
        <f>(G93-G92)*G91</f>
        <v>0</v>
      </c>
    </row>
    <row r="95" spans="3:13" x14ac:dyDescent="0.2">
      <c r="C95" s="76" t="s">
        <v>220</v>
      </c>
      <c r="D95" s="79">
        <f>+H50</f>
        <v>0</v>
      </c>
      <c r="E95" s="12"/>
      <c r="F95" s="22" t="s">
        <v>21</v>
      </c>
      <c r="G95" s="80">
        <f>IF(E25="si",-30%,IF(OR(F27&gt;0,F28&gt;0,F29&gt;0,F30&gt;0),-40%,IF(F32&gt;0,-50%,0)))</f>
        <v>0</v>
      </c>
    </row>
    <row r="96" spans="3:13" x14ac:dyDescent="0.2">
      <c r="C96" s="76" t="s">
        <v>221</v>
      </c>
      <c r="D96" s="79">
        <f>+SUM(H51:H53)</f>
        <v>0</v>
      </c>
      <c r="H96" s="160"/>
    </row>
    <row r="97" spans="3:8" x14ac:dyDescent="0.2">
      <c r="C97" s="76" t="s">
        <v>222</v>
      </c>
      <c r="D97" s="79">
        <f>+H55</f>
        <v>0</v>
      </c>
      <c r="F97" s="472" t="s">
        <v>281</v>
      </c>
      <c r="G97" s="473"/>
      <c r="H97" s="159"/>
    </row>
    <row r="98" spans="3:8" x14ac:dyDescent="0.2">
      <c r="C98" s="76" t="s">
        <v>223</v>
      </c>
      <c r="D98" s="79">
        <f>+H56</f>
        <v>0</v>
      </c>
      <c r="F98" s="74" t="s">
        <v>282</v>
      </c>
      <c r="G98" s="301">
        <v>5.1346022727272684</v>
      </c>
      <c r="H98" s="159"/>
    </row>
    <row r="99" spans="3:8" x14ac:dyDescent="0.2">
      <c r="C99" s="76" t="s">
        <v>307</v>
      </c>
      <c r="D99" s="79">
        <f>+H65</f>
        <v>0</v>
      </c>
      <c r="F99" s="82" t="s">
        <v>283</v>
      </c>
      <c r="G99" s="300">
        <f>(G93-G92)</f>
        <v>0</v>
      </c>
      <c r="H99" s="160"/>
    </row>
    <row r="100" spans="3:8" x14ac:dyDescent="0.2">
      <c r="C100" s="76" t="s">
        <v>303</v>
      </c>
      <c r="D100" s="79">
        <f>+H60+H54</f>
        <v>0</v>
      </c>
      <c r="F100" s="82" t="s">
        <v>285</v>
      </c>
      <c r="G100" s="172">
        <v>0.38500000000000001</v>
      </c>
      <c r="H100" s="17"/>
    </row>
    <row r="101" spans="3:8" x14ac:dyDescent="0.2">
      <c r="C101" s="193" t="s">
        <v>224</v>
      </c>
      <c r="D101" s="79">
        <f>+H61</f>
        <v>0</v>
      </c>
      <c r="F101" s="22" t="s">
        <v>286</v>
      </c>
      <c r="G101" s="310">
        <f>G99*G100*G98/1000</f>
        <v>0</v>
      </c>
      <c r="H101" s="161"/>
    </row>
    <row r="102" spans="3:8" x14ac:dyDescent="0.2">
      <c r="C102" s="76" t="s">
        <v>225</v>
      </c>
      <c r="D102" s="79">
        <f>+H66</f>
        <v>0</v>
      </c>
      <c r="H102" s="161"/>
    </row>
    <row r="103" spans="3:8" x14ac:dyDescent="0.2">
      <c r="C103" s="76" t="s">
        <v>231</v>
      </c>
      <c r="D103" s="79">
        <f>IF(G43="si",'Prezzi servizi "smart"'!$D$4*'Project Financing'!D70,0)</f>
        <v>0</v>
      </c>
      <c r="F103" s="472" t="s">
        <v>123</v>
      </c>
      <c r="G103" s="473"/>
      <c r="H103" s="162"/>
    </row>
    <row r="104" spans="3:8" x14ac:dyDescent="0.2">
      <c r="C104" s="93" t="s">
        <v>323</v>
      </c>
      <c r="D104" s="79">
        <f>(F28)*(IF(I28='Prezzi smart adaptive lighting'!B16,'Prezzi smart adaptive lighting'!C16,IF(I28='Prezzi smart adaptive lighting'!B17,'Prezzi smart adaptive lighting'!C17,IF(I28='Prezzi smart adaptive lighting'!B18,'Prezzi smart adaptive lighting'!C18,IF(I28='Prezzi smart adaptive lighting'!B19,'Prezzi smart adaptive lighting'!C19,'Prezzi smart adaptive lighting'!C20)))))+(F29)*(IF(I29='Prezzi smart adaptive lighting'!B16,'Prezzi smart adaptive lighting'!C16,IF(I29='Prezzi smart adaptive lighting'!B17,'Prezzi smart adaptive lighting'!C17,IF(I29='Prezzi smart adaptive lighting'!B18,'Prezzi smart adaptive lighting'!C18,IF(I29='Prezzi smart adaptive lighting'!B19,'Prezzi smart adaptive lighting'!C19,'Prezzi smart adaptive lighting'!C20)))))+(F29)*(IF(J29='Prezzi smart adaptive lighting'!B16,'Prezzi smart adaptive lighting'!C16,IF(J29='Prezzi smart adaptive lighting'!B17,'Prezzi smart adaptive lighting'!C17,IF(J29='Prezzi smart adaptive lighting'!B18,'Prezzi smart adaptive lighting'!C18,IF(J29='Prezzi smart adaptive lighting'!B19,'Prezzi smart adaptive lighting'!C19,'Prezzi smart adaptive lighting'!C20)))))+(F30)*(IF(I30='Prezzi smart adaptive lighting'!B16,'Prezzi smart adaptive lighting'!C16,IF(I30='Prezzi smart adaptive lighting'!B17,'Prezzi smart adaptive lighting'!C17,IF(I30='Prezzi smart adaptive lighting'!B18,'Prezzi smart adaptive lighting'!C18,IF(I30='Prezzi smart adaptive lighting'!B19,'Prezzi smart adaptive lighting'!C19,'Prezzi smart adaptive lighting'!C20)))))+(F30)*(IF(J30='Prezzi smart adaptive lighting'!B16,'Prezzi smart adaptive lighting'!C16,IF(J30='Prezzi smart adaptive lighting'!B17,'Prezzi smart adaptive lighting'!C17,IF(J30='Prezzi smart adaptive lighting'!B18,'Prezzi smart adaptive lighting'!C18,IF(J30='Prezzi smart adaptive lighting'!B19,'Prezzi smart adaptive lighting'!C19,'Prezzi smart adaptive lighting'!C20)))))+(F30)*(IF(K30='Prezzi smart adaptive lighting'!B16,'Prezzi smart adaptive lighting'!C16,IF(K30='Prezzi smart adaptive lighting'!B17,'Prezzi smart adaptive lighting'!C17,IF(K30='Prezzi smart adaptive lighting'!B18,'Prezzi smart adaptive lighting'!C18,IF(K30='Prezzi smart adaptive lighting'!B19,'Prezzi smart adaptive lighting'!C19,'Prezzi smart adaptive lighting'!C20)))))</f>
        <v>0</v>
      </c>
      <c r="E104" t="s">
        <v>345</v>
      </c>
      <c r="F104" s="133" t="s">
        <v>232</v>
      </c>
      <c r="G104" s="100">
        <f>D71*'Prezzi smart adaptive lighting'!F11</f>
        <v>0</v>
      </c>
      <c r="H104" s="161"/>
    </row>
    <row r="105" spans="3:8" x14ac:dyDescent="0.2">
      <c r="C105" s="93" t="s">
        <v>324</v>
      </c>
      <c r="D105" s="79">
        <f>(G45)*(IF(I45='Prezzi smart adaptive lighting'!B16,'Prezzi smart adaptive lighting'!C16,IF(I45='Prezzi smart adaptive lighting'!B17,'Prezzi smart adaptive lighting'!C17,IF(I45='Prezzi smart adaptive lighting'!B18,'Prezzi smart adaptive lighting'!C18,IF(I45='Prezzi smart adaptive lighting'!B19,'Prezzi smart adaptive lighting'!C19,'Prezzi smart adaptive lighting'!C20)))))+('Project Financing'!G46)*(IF(I46='Prezzi smart adaptive lighting'!B16,'Prezzi smart adaptive lighting'!C16,IF(I46='Prezzi smart adaptive lighting'!B17,'Prezzi smart adaptive lighting'!C17,IF(I46='Prezzi smart adaptive lighting'!B18,'Prezzi smart adaptive lighting'!C18,IF(I46='Prezzi smart adaptive lighting'!B19,'Prezzi smart adaptive lighting'!C19,'Prezzi smart adaptive lighting'!C20)))))+('Project Financing'!G46)*(IF(J46='Prezzi smart adaptive lighting'!B16,'Prezzi smart adaptive lighting'!C16,IF(J46='Prezzi smart adaptive lighting'!B17,'Prezzi smart adaptive lighting'!C17,IF(J46='Prezzi smart adaptive lighting'!B18,'Prezzi smart adaptive lighting'!C18,IF(J46='Prezzi smart adaptive lighting'!B19,'Prezzi smart adaptive lighting'!C19,'Prezzi smart adaptive lighting'!C20)))))+('Project Financing'!G47)*(IF(I47='Prezzi smart adaptive lighting'!B16,'Prezzi smart adaptive lighting'!C16,IF(I47='Prezzi smart adaptive lighting'!B17,'Prezzi smart adaptive lighting'!C17,IF(I47='Prezzi smart adaptive lighting'!B18,'Prezzi smart adaptive lighting'!C18,IF(I47='Prezzi smart adaptive lighting'!B19,'Prezzi smart adaptive lighting'!C19,'Prezzi smart adaptive lighting'!C20)))))+('Project Financing'!G47)*(IF(J47='Prezzi smart adaptive lighting'!B16,'Prezzi smart adaptive lighting'!C16,IF(J47='Prezzi smart adaptive lighting'!B17,'Prezzi smart adaptive lighting'!C17,IF(J47='Prezzi smart adaptive lighting'!B18,'Prezzi smart adaptive lighting'!C18,IF(J47='Prezzi smart adaptive lighting'!B19,'Prezzi smart adaptive lighting'!C19,'Prezzi smart adaptive lighting'!C20)))))+('Project Financing'!G47)*(IF(K47='Prezzi smart adaptive lighting'!B16,'Prezzi smart adaptive lighting'!C16,IF(K47='Prezzi smart adaptive lighting'!B17,'Prezzi smart adaptive lighting'!C17,IF(K47='Prezzi smart adaptive lighting'!B18,'Prezzi smart adaptive lighting'!C18,IF(K47='Prezzi smart adaptive lighting'!B19,'Prezzi smart adaptive lighting'!C19,'Prezzi smart adaptive lighting'!C20)))))+(G49)*'Prezzi smart adaptive lighting'!$C$19+(G54)*'Prezzi smart adaptive lighting'!$C$20</f>
        <v>0</v>
      </c>
      <c r="E105" t="s">
        <v>345</v>
      </c>
      <c r="F105" s="93" t="s">
        <v>233</v>
      </c>
      <c r="G105" s="291">
        <f>IF(OR(G60&gt;0,G61&gt;0,G66&gt;0),50000,0)</f>
        <v>0</v>
      </c>
      <c r="H105" s="161" t="s">
        <v>241</v>
      </c>
    </row>
    <row r="106" spans="3:8" x14ac:dyDescent="0.2">
      <c r="C106" s="93" t="s">
        <v>271</v>
      </c>
      <c r="D106" s="79">
        <f>IF(G106="si",10000,0)</f>
        <v>0</v>
      </c>
      <c r="E106" t="s">
        <v>272</v>
      </c>
      <c r="F106" s="16" t="s">
        <v>273</v>
      </c>
      <c r="G106" s="289" t="s">
        <v>119</v>
      </c>
      <c r="H106" s="161"/>
    </row>
    <row r="107" spans="3:8" x14ac:dyDescent="0.2">
      <c r="C107" s="3" t="s">
        <v>346</v>
      </c>
      <c r="D107" s="259"/>
      <c r="F107" s="21" t="s">
        <v>274</v>
      </c>
      <c r="G107" s="290"/>
      <c r="H107" s="161"/>
    </row>
    <row r="108" spans="3:8" x14ac:dyDescent="0.2">
      <c r="C108" s="121" t="s">
        <v>165</v>
      </c>
      <c r="D108" s="122">
        <f>SUM(D87:D107)</f>
        <v>0</v>
      </c>
      <c r="E108" s="101"/>
      <c r="F108" s="21" t="s">
        <v>164</v>
      </c>
      <c r="G108" s="292">
        <f>IF(F37="si",F39,'Prezzi smart adaptive lighting'!C15*D70)*IF((F27&gt;0),(1.1),1)*IF(F32&gt;0,(1.2),1)+IF(F37="si",F39,'Prezzi smart adaptive lighting'!C15*D70)*IF(COUNTBLANK(G44)+COUNTBLANK(G48)+COUNTBLANK(G50:G53)+COUNTBLANK(G55:G56)+COUNTBLANK(G60:G61)+COUNTBLANK(G65:G66)=11,(1.1),0)+IF(F37="si",F39,'Prezzi smart adaptive lighting'!C15*D70)*IF(COUNTBLANK(G44)+COUNTBLANK(G48)+COUNTBLANK(G50:G53)+COUNTBLANK(G55:G56)+COUNTBLANK(G60:G61)+COUNTBLANK(G65:G66)=10,(1.2),0)+IF(F37="si",F39,'Prezzi smart adaptive lighting'!C15*D70)*IF(COUNTBLANK(G44)+COUNTBLANK(G48)+COUNTBLANK(G50:G53)+COUNTBLANK(G55:G56)+COUNTBLANK(G60:G61)+COUNTBLANK(G65:G66)&lt;=9,(1.3),0)+IF(D74&gt;0,500,0)+IF(G106="si",G107,0)</f>
        <v>0</v>
      </c>
      <c r="H108" s="161"/>
    </row>
    <row r="109" spans="3:8" x14ac:dyDescent="0.2">
      <c r="C109" s="82" t="s">
        <v>154</v>
      </c>
      <c r="D109" s="172">
        <v>15</v>
      </c>
      <c r="E109" s="102"/>
      <c r="H109" s="161"/>
    </row>
    <row r="110" spans="3:8" s="18" customFormat="1" x14ac:dyDescent="0.2"/>
    <row r="111" spans="3:8" s="18" customFormat="1" x14ac:dyDescent="0.2">
      <c r="C111"/>
      <c r="D111"/>
    </row>
    <row r="112" spans="3:8" s="18" customFormat="1" x14ac:dyDescent="0.2">
      <c r="C112" s="446" t="s">
        <v>0</v>
      </c>
      <c r="D112" s="447"/>
    </row>
    <row r="113" spans="3:19" s="18" customFormat="1" x14ac:dyDescent="0.2">
      <c r="C113" s="20" t="s">
        <v>180</v>
      </c>
      <c r="D113" s="83">
        <v>0.4</v>
      </c>
    </row>
    <row r="114" spans="3:19" s="18" customFormat="1" x14ac:dyDescent="0.2">
      <c r="C114" s="9" t="s">
        <v>155</v>
      </c>
      <c r="D114" s="134">
        <v>0.13780000000000001</v>
      </c>
    </row>
    <row r="115" spans="3:19" s="18" customFormat="1" x14ac:dyDescent="0.2">
      <c r="C115" s="1" t="s">
        <v>159</v>
      </c>
      <c r="D115" s="117">
        <v>0.5</v>
      </c>
      <c r="E115" s="72" t="str">
        <f>IF((D115+D116)&lt;1,"ATTENZIONE! Controllare valore","ok")</f>
        <v>ok</v>
      </c>
    </row>
    <row r="116" spans="3:19" s="18" customFormat="1" x14ac:dyDescent="0.2">
      <c r="C116" s="1" t="s">
        <v>160</v>
      </c>
      <c r="D116" s="118">
        <v>0.5</v>
      </c>
      <c r="E116" s="72" t="str">
        <f>IF((D115+D116)&lt;1,"ATTENZIONE! Controllare valore","ok")</f>
        <v>ok</v>
      </c>
    </row>
    <row r="117" spans="3:19" s="18" customFormat="1" x14ac:dyDescent="0.2">
      <c r="C117" s="93" t="s">
        <v>161</v>
      </c>
      <c r="D117" s="137">
        <v>0</v>
      </c>
    </row>
    <row r="118" spans="3:19" s="18" customFormat="1" x14ac:dyDescent="0.2">
      <c r="C118" s="1" t="s">
        <v>19</v>
      </c>
      <c r="D118" s="117">
        <v>7.0000000000000007E-2</v>
      </c>
    </row>
    <row r="119" spans="3:19" s="18" customFormat="1" x14ac:dyDescent="0.2">
      <c r="C119" s="1" t="s">
        <v>158</v>
      </c>
      <c r="D119" s="117">
        <v>0.15</v>
      </c>
    </row>
    <row r="120" spans="3:19" s="18" customFormat="1" x14ac:dyDescent="0.2">
      <c r="C120" s="93" t="s">
        <v>162</v>
      </c>
      <c r="D120" s="137">
        <v>0</v>
      </c>
    </row>
    <row r="121" spans="3:19" s="18" customFormat="1" x14ac:dyDescent="0.2">
      <c r="C121" s="22" t="s">
        <v>27</v>
      </c>
      <c r="D121" s="80">
        <f>D115*D118+D116*D119+D117*D120</f>
        <v>0.11</v>
      </c>
    </row>
    <row r="122" spans="3:19" s="18" customFormat="1" x14ac:dyDescent="0.2"/>
    <row r="123" spans="3:19" s="18" customFormat="1" x14ac:dyDescent="0.2"/>
    <row r="124" spans="3:19" s="18" customFormat="1" x14ac:dyDescent="0.2">
      <c r="F124" s="145"/>
    </row>
    <row r="125" spans="3:19" x14ac:dyDescent="0.2">
      <c r="C125" s="148" t="s">
        <v>389</v>
      </c>
    </row>
    <row r="127" spans="3:19" x14ac:dyDescent="0.2">
      <c r="C127" s="5" t="s">
        <v>2</v>
      </c>
      <c r="D127" s="6">
        <v>0</v>
      </c>
      <c r="E127" s="6">
        <v>1</v>
      </c>
      <c r="F127" s="6">
        <v>2</v>
      </c>
      <c r="G127" s="6">
        <v>3</v>
      </c>
      <c r="H127" s="6">
        <v>4</v>
      </c>
      <c r="I127" s="6">
        <v>5</v>
      </c>
      <c r="J127" s="6">
        <v>6</v>
      </c>
      <c r="K127" s="6">
        <v>7</v>
      </c>
      <c r="L127" s="6">
        <v>8</v>
      </c>
      <c r="M127" s="6">
        <v>9</v>
      </c>
      <c r="N127" s="6">
        <v>10</v>
      </c>
      <c r="O127" s="6">
        <v>11</v>
      </c>
      <c r="P127" s="6">
        <v>12</v>
      </c>
      <c r="Q127" s="6">
        <v>13</v>
      </c>
      <c r="R127" s="6">
        <v>14</v>
      </c>
      <c r="S127" s="6">
        <v>15</v>
      </c>
    </row>
    <row r="128" spans="3:19" x14ac:dyDescent="0.2">
      <c r="C128" s="72" t="s">
        <v>167</v>
      </c>
      <c r="D128" s="142">
        <f>D108*(1+D114)</f>
        <v>0</v>
      </c>
    </row>
    <row r="129" spans="3:24" x14ac:dyDescent="0.2">
      <c r="C129" s="72" t="s">
        <v>168</v>
      </c>
      <c r="E129" s="142">
        <f>$G$104+$G$105+$G$108+IF($G$60&gt;0,0.1*($H$60+$G$60*'Prezzi servizi "smart"'!$I$12),0)+IF('Project Financing'!$G$61&gt;0,0.1*('Project Financing'!$D$101+'Project Financing'!$G$61*'Prezzi servizi "smart"'!$I$17),0)</f>
        <v>0</v>
      </c>
      <c r="F129" s="142">
        <f>$G$104+$G$105+$G$108+IF($G$60&gt;0,0.1*($H$60+$G$60*'Prezzi servizi "smart"'!$I$12),0)+IF('Project Financing'!$G$61&gt;0,0.1*('Project Financing'!$D$101+'Project Financing'!$G$61*'Prezzi servizi "smart"'!$I$17),0)</f>
        <v>0</v>
      </c>
      <c r="G129" s="142">
        <f>$G$104+$G$105+$G$108+IF($G$60&gt;0,0.1*($H$60+$G$60*'Prezzi servizi "smart"'!$I$12),0)+IF('Project Financing'!$G$61&gt;0,0.1*('Project Financing'!$D$101+'Project Financing'!$G$61*'Prezzi servizi "smart"'!$I$17),0)</f>
        <v>0</v>
      </c>
      <c r="H129" s="142">
        <f>$G$104+$G$105+$G$108+IF($G$60&gt;0,0.1*($H$60+$G$60*'Prezzi servizi "smart"'!$I$12),0)+IF('Project Financing'!$G$61&gt;0,0.1*('Project Financing'!$D$101+'Project Financing'!$G$61*'Prezzi servizi "smart"'!$I$17),0)</f>
        <v>0</v>
      </c>
      <c r="I129" s="142">
        <f>$G$104+$G$105+$G$108+IF($G$60&gt;0,0.1*($H$60+$G$60*'Prezzi servizi "smart"'!$I$12),0)+IF('Project Financing'!$G$61&gt;0,0.1*('Project Financing'!$D$101+'Project Financing'!$G$61*'Prezzi servizi "smart"'!$I$17),0)</f>
        <v>0</v>
      </c>
      <c r="J129" s="142">
        <f>$G$104+$G$105+$G$108+IF($G$60&gt;0,0.1*($H$60+$G$60*'Prezzi servizi "smart"'!$I$12),0)+IF('Project Financing'!$G$61&gt;0,0.1*('Project Financing'!$D$101+'Project Financing'!$G$61*'Prezzi servizi "smart"'!$I$17),0)</f>
        <v>0</v>
      </c>
      <c r="K129" s="142">
        <f>$G$104+$G$105+$G$108+IF($G$60&gt;0,0.1*($H$60+$G$60*'Prezzi servizi "smart"'!$I$12),0)+IF('Project Financing'!$G$61&gt;0,0.1*('Project Financing'!$D$101+'Project Financing'!$G$61*'Prezzi servizi "smart"'!$I$17),0)</f>
        <v>0</v>
      </c>
      <c r="L129" s="142">
        <f>$G$104+$G$105+$G$108+IF($G$60&gt;0,0.1*($H$60+$G$60*'Prezzi servizi "smart"'!$I$12),0)+IF('Project Financing'!$G$61&gt;0,0.1*('Project Financing'!$D$101+'Project Financing'!$G$61*'Prezzi servizi "smart"'!$I$17),0)</f>
        <v>0</v>
      </c>
      <c r="M129" s="142">
        <f>$G$104+$G$105+$G$108+IF($G$60&gt;0,0.1*($H$60+$G$60*'Prezzi servizi "smart"'!$I$12),0)+IF('Project Financing'!$G$61&gt;0,0.1*('Project Financing'!$D$101+'Project Financing'!$G$61*'Prezzi servizi "smart"'!$I$17),0)</f>
        <v>0</v>
      </c>
      <c r="N129" s="142">
        <f>$G$104+$G$105+$G$108+IF($G$60&gt;0,0.1*($H$60+$G$60*'Prezzi servizi "smart"'!$I$12),0)+IF('Project Financing'!$G$61&gt;0,0.1*('Project Financing'!$D$101+'Project Financing'!$G$61*'Prezzi servizi "smart"'!$I$17),0)</f>
        <v>0</v>
      </c>
      <c r="O129" s="142">
        <f>$G$104+$G$105+$G$108+IF($G$60&gt;0,0.1*($H$60+$G$60*'Prezzi servizi "smart"'!$I$12),0)+IF('Project Financing'!$G$61&gt;0,0.1*('Project Financing'!$D$101+'Project Financing'!$G$61*'Prezzi servizi "smart"'!$I$17),0)</f>
        <v>0</v>
      </c>
      <c r="P129" s="142">
        <f>$G$104+$G$105+$G$108+IF($G$60&gt;0,0.1*($H$60+$G$60*'Prezzi servizi "smart"'!$I$12),0)+IF('Project Financing'!$G$61&gt;0,0.1*('Project Financing'!$D$101+'Project Financing'!$G$61*'Prezzi servizi "smart"'!$I$17),0)</f>
        <v>0</v>
      </c>
      <c r="Q129" s="142">
        <f>$G$104+$G$105+$G$108+IF($G$60&gt;0,0.1*($H$60+$G$60*'Prezzi servizi "smart"'!$I$12),0)+IF('Project Financing'!$G$61&gt;0,0.1*('Project Financing'!$D$101+'Project Financing'!$G$61*'Prezzi servizi "smart"'!$I$17),0)</f>
        <v>0</v>
      </c>
      <c r="R129" s="142">
        <f>$G$104+$G$105+$G$108+IF($G$60&gt;0,0.1*($H$60+$G$60*'Prezzi servizi "smart"'!$I$12),0)+IF('Project Financing'!$G$61&gt;0,0.1*('Project Financing'!$D$101+'Project Financing'!$G$61*'Prezzi servizi "smart"'!$I$17),0)</f>
        <v>0</v>
      </c>
      <c r="S129" s="142">
        <f>$G$104+$G$105+$G$108+IF($G$60&gt;0,0.1*($H$60+$G$60*'Prezzi servizi "smart"'!$I$12),0)+IF('Project Financing'!$G$61&gt;0,0.1*('Project Financing'!$D$101+'Project Financing'!$G$61*'Prezzi servizi "smart"'!$I$17),0)</f>
        <v>0</v>
      </c>
      <c r="T129" s="142"/>
      <c r="U129" s="142"/>
    </row>
    <row r="130" spans="3:24" ht="16" thickBot="1" x14ac:dyDescent="0.25">
      <c r="C130" s="72" t="s">
        <v>169</v>
      </c>
      <c r="D130" s="142">
        <f>D128/(1+$D$119)^D127</f>
        <v>0</v>
      </c>
      <c r="E130" s="142">
        <f t="shared" ref="E130:S130" si="2">E129/(1+$D$119)^E127</f>
        <v>0</v>
      </c>
      <c r="F130" s="142">
        <f t="shared" si="2"/>
        <v>0</v>
      </c>
      <c r="G130" s="142">
        <f t="shared" si="2"/>
        <v>0</v>
      </c>
      <c r="H130" s="142">
        <f t="shared" si="2"/>
        <v>0</v>
      </c>
      <c r="I130" s="142">
        <f t="shared" si="2"/>
        <v>0</v>
      </c>
      <c r="J130" s="142">
        <f t="shared" si="2"/>
        <v>0</v>
      </c>
      <c r="K130" s="142">
        <f t="shared" si="2"/>
        <v>0</v>
      </c>
      <c r="L130" s="142">
        <f t="shared" si="2"/>
        <v>0</v>
      </c>
      <c r="M130" s="142">
        <f t="shared" si="2"/>
        <v>0</v>
      </c>
      <c r="N130" s="142">
        <f t="shared" si="2"/>
        <v>0</v>
      </c>
      <c r="O130" s="142">
        <f t="shared" si="2"/>
        <v>0</v>
      </c>
      <c r="P130" s="142">
        <f t="shared" si="2"/>
        <v>0</v>
      </c>
      <c r="Q130" s="142">
        <f t="shared" si="2"/>
        <v>0</v>
      </c>
      <c r="R130" s="142">
        <f t="shared" si="2"/>
        <v>0</v>
      </c>
      <c r="S130" s="142">
        <f t="shared" si="2"/>
        <v>0</v>
      </c>
    </row>
    <row r="131" spans="3:24" ht="16" thickBot="1" x14ac:dyDescent="0.25">
      <c r="C131" s="25" t="s">
        <v>348</v>
      </c>
      <c r="D131" s="163">
        <f>SUM(D130:S130)</f>
        <v>0</v>
      </c>
      <c r="E131" s="72" t="s">
        <v>352</v>
      </c>
    </row>
    <row r="132" spans="3:24" ht="16" thickBot="1" x14ac:dyDescent="0.25"/>
    <row r="133" spans="3:24" ht="16" thickBot="1" x14ac:dyDescent="0.25">
      <c r="C133" s="149" t="s">
        <v>174</v>
      </c>
      <c r="D133" s="155"/>
      <c r="E133" s="72" t="s">
        <v>353</v>
      </c>
      <c r="F133" s="25" t="s">
        <v>176</v>
      </c>
      <c r="G133" s="174"/>
    </row>
    <row r="134" spans="3:24" ht="16" thickBot="1" x14ac:dyDescent="0.25">
      <c r="C134" s="150" t="s">
        <v>157</v>
      </c>
      <c r="D134" s="202" t="e">
        <f>D133/D70</f>
        <v>#DIV/0!</v>
      </c>
    </row>
    <row r="136" spans="3:24" x14ac:dyDescent="0.2">
      <c r="C136" s="5" t="s">
        <v>2</v>
      </c>
      <c r="D136" s="6">
        <v>0</v>
      </c>
      <c r="E136" s="6">
        <v>1</v>
      </c>
      <c r="F136" s="6">
        <v>2</v>
      </c>
      <c r="G136" s="6">
        <v>3</v>
      </c>
      <c r="H136" s="6">
        <v>4</v>
      </c>
      <c r="I136" s="6">
        <v>5</v>
      </c>
      <c r="J136" s="6">
        <v>6</v>
      </c>
      <c r="K136" s="6">
        <v>7</v>
      </c>
      <c r="L136" s="6">
        <v>8</v>
      </c>
      <c r="M136" s="6">
        <v>9</v>
      </c>
      <c r="N136" s="6">
        <v>10</v>
      </c>
      <c r="O136" s="6">
        <v>11</v>
      </c>
      <c r="P136" s="6">
        <v>12</v>
      </c>
      <c r="Q136" s="6">
        <v>13</v>
      </c>
      <c r="R136" s="6">
        <v>14</v>
      </c>
      <c r="S136" s="6">
        <v>15</v>
      </c>
    </row>
    <row r="137" spans="3:24" x14ac:dyDescent="0.2">
      <c r="C137" s="72" t="s">
        <v>156</v>
      </c>
      <c r="D137" s="143"/>
      <c r="E137" s="143">
        <f t="shared" ref="E137:S137" si="3">$D$133</f>
        <v>0</v>
      </c>
      <c r="F137" s="143">
        <f t="shared" si="3"/>
        <v>0</v>
      </c>
      <c r="G137" s="143">
        <f t="shared" si="3"/>
        <v>0</v>
      </c>
      <c r="H137" s="143">
        <f t="shared" si="3"/>
        <v>0</v>
      </c>
      <c r="I137" s="143">
        <f t="shared" si="3"/>
        <v>0</v>
      </c>
      <c r="J137" s="143">
        <f t="shared" si="3"/>
        <v>0</v>
      </c>
      <c r="K137" s="143">
        <f t="shared" si="3"/>
        <v>0</v>
      </c>
      <c r="L137" s="143">
        <f t="shared" si="3"/>
        <v>0</v>
      </c>
      <c r="M137" s="143">
        <f t="shared" si="3"/>
        <v>0</v>
      </c>
      <c r="N137" s="143">
        <f t="shared" si="3"/>
        <v>0</v>
      </c>
      <c r="O137" s="143">
        <f t="shared" si="3"/>
        <v>0</v>
      </c>
      <c r="P137" s="143">
        <f t="shared" si="3"/>
        <v>0</v>
      </c>
      <c r="Q137" s="143">
        <f t="shared" si="3"/>
        <v>0</v>
      </c>
      <c r="R137" s="143">
        <f t="shared" si="3"/>
        <v>0</v>
      </c>
      <c r="S137" s="143">
        <f t="shared" si="3"/>
        <v>0</v>
      </c>
    </row>
    <row r="138" spans="3:24" x14ac:dyDescent="0.2">
      <c r="C138" s="72" t="s">
        <v>170</v>
      </c>
      <c r="E138" s="142">
        <f t="shared" ref="E138:S138" si="4">E137/(1+$D$119)^E136</f>
        <v>0</v>
      </c>
      <c r="F138" s="142">
        <f t="shared" si="4"/>
        <v>0</v>
      </c>
      <c r="G138" s="142">
        <f t="shared" si="4"/>
        <v>0</v>
      </c>
      <c r="H138" s="142">
        <f t="shared" si="4"/>
        <v>0</v>
      </c>
      <c r="I138" s="142">
        <f t="shared" si="4"/>
        <v>0</v>
      </c>
      <c r="J138" s="142">
        <f t="shared" si="4"/>
        <v>0</v>
      </c>
      <c r="K138" s="142">
        <f t="shared" si="4"/>
        <v>0</v>
      </c>
      <c r="L138" s="142">
        <f t="shared" si="4"/>
        <v>0</v>
      </c>
      <c r="M138" s="142">
        <f t="shared" si="4"/>
        <v>0</v>
      </c>
      <c r="N138" s="142">
        <f t="shared" si="4"/>
        <v>0</v>
      </c>
      <c r="O138" s="142">
        <f t="shared" si="4"/>
        <v>0</v>
      </c>
      <c r="P138" s="142">
        <f t="shared" si="4"/>
        <v>0</v>
      </c>
      <c r="Q138" s="142">
        <f t="shared" si="4"/>
        <v>0</v>
      </c>
      <c r="R138" s="142">
        <f t="shared" si="4"/>
        <v>0</v>
      </c>
      <c r="S138" s="142">
        <f t="shared" si="4"/>
        <v>0</v>
      </c>
    </row>
    <row r="139" spans="3:24" ht="16" thickBot="1" x14ac:dyDescent="0.25"/>
    <row r="140" spans="3:24" ht="16" thickBot="1" x14ac:dyDescent="0.25">
      <c r="C140" s="25" t="s">
        <v>347</v>
      </c>
      <c r="D140" s="158">
        <f>SUM(E138:S138)</f>
        <v>0</v>
      </c>
      <c r="E140" s="72" t="s">
        <v>354</v>
      </c>
    </row>
    <row r="144" spans="3:24" x14ac:dyDescent="0.2">
      <c r="T144" s="18"/>
      <c r="U144" s="132"/>
      <c r="V144" s="18"/>
      <c r="W144" s="18"/>
      <c r="X144" s="18"/>
    </row>
    <row r="145" spans="3:25" x14ac:dyDescent="0.2">
      <c r="C145" s="5" t="s">
        <v>2</v>
      </c>
      <c r="D145" s="6">
        <v>0</v>
      </c>
      <c r="E145" s="6">
        <v>1</v>
      </c>
      <c r="F145" s="6">
        <v>2</v>
      </c>
      <c r="G145" s="6">
        <v>3</v>
      </c>
      <c r="H145" s="6">
        <v>4</v>
      </c>
      <c r="I145" s="6">
        <v>5</v>
      </c>
      <c r="J145" s="6">
        <v>6</v>
      </c>
      <c r="K145" s="6">
        <v>7</v>
      </c>
      <c r="L145" s="6">
        <v>8</v>
      </c>
      <c r="M145" s="6">
        <v>9</v>
      </c>
      <c r="N145" s="6">
        <v>10</v>
      </c>
      <c r="O145" s="6">
        <v>11</v>
      </c>
      <c r="P145" s="6">
        <v>12</v>
      </c>
      <c r="Q145" s="6">
        <v>13</v>
      </c>
      <c r="R145" s="6">
        <v>14</v>
      </c>
      <c r="S145" s="6">
        <v>15</v>
      </c>
      <c r="T145" s="132"/>
      <c r="U145" s="132"/>
      <c r="V145" s="132"/>
      <c r="W145" s="132"/>
      <c r="X145" s="132"/>
    </row>
    <row r="146" spans="3:25" x14ac:dyDescent="0.2">
      <c r="C146" s="7" t="s">
        <v>3</v>
      </c>
      <c r="D146" s="8"/>
      <c r="E146" s="8"/>
      <c r="F146" s="8"/>
      <c r="G146" s="8"/>
      <c r="H146" s="8"/>
      <c r="I146" s="8"/>
      <c r="J146" s="8"/>
      <c r="K146" s="8"/>
      <c r="L146" s="8"/>
      <c r="M146" s="8"/>
      <c r="N146" s="8"/>
      <c r="O146" s="8"/>
      <c r="P146" s="8"/>
      <c r="Q146" s="8"/>
      <c r="R146" s="8"/>
      <c r="S146" s="8"/>
      <c r="T146" s="18"/>
      <c r="U146" s="18"/>
      <c r="V146" s="18"/>
      <c r="W146" s="18"/>
      <c r="X146" s="18"/>
    </row>
    <row r="147" spans="3:25" x14ac:dyDescent="0.2">
      <c r="C147" s="9" t="s">
        <v>134</v>
      </c>
      <c r="D147" s="173">
        <f>-D108</f>
        <v>0</v>
      </c>
      <c r="E147" s="10"/>
      <c r="F147" s="10"/>
      <c r="G147" s="10"/>
      <c r="H147" s="10"/>
      <c r="I147" s="10"/>
      <c r="J147" s="10"/>
      <c r="K147" s="10"/>
      <c r="L147" s="10"/>
      <c r="M147" s="10"/>
      <c r="N147" s="10"/>
      <c r="O147" s="10"/>
      <c r="P147" s="10"/>
      <c r="Q147" s="10"/>
      <c r="R147" s="10"/>
      <c r="S147" s="10"/>
      <c r="T147" s="18"/>
      <c r="U147" s="18"/>
      <c r="V147" s="18"/>
      <c r="W147" s="18"/>
      <c r="X147" s="18"/>
    </row>
    <row r="148" spans="3:25" x14ac:dyDescent="0.2">
      <c r="C148" s="7" t="s">
        <v>4</v>
      </c>
      <c r="D148" s="8"/>
      <c r="E148" s="8"/>
      <c r="F148" s="8"/>
      <c r="G148" s="8"/>
      <c r="H148" s="8"/>
      <c r="I148" s="8"/>
      <c r="J148" s="8"/>
      <c r="K148" s="8"/>
      <c r="L148" s="8"/>
      <c r="M148" s="8"/>
      <c r="N148" s="8"/>
      <c r="O148" s="8"/>
      <c r="P148" s="8"/>
      <c r="Q148" s="8"/>
      <c r="R148" s="8"/>
      <c r="S148" s="8"/>
      <c r="T148" s="18"/>
      <c r="U148" s="18"/>
      <c r="V148" s="18"/>
      <c r="W148" s="18"/>
      <c r="X148" s="18"/>
    </row>
    <row r="149" spans="3:25" s="101" customFormat="1" x14ac:dyDescent="0.2">
      <c r="C149" s="105" t="s">
        <v>156</v>
      </c>
      <c r="D149" s="106"/>
      <c r="E149" s="106">
        <f>$G$133</f>
        <v>0</v>
      </c>
      <c r="F149" s="106">
        <f t="shared" ref="F149:S149" si="5">$G$133</f>
        <v>0</v>
      </c>
      <c r="G149" s="106">
        <f t="shared" si="5"/>
        <v>0</v>
      </c>
      <c r="H149" s="106">
        <f t="shared" si="5"/>
        <v>0</v>
      </c>
      <c r="I149" s="106">
        <f t="shared" si="5"/>
        <v>0</v>
      </c>
      <c r="J149" s="106">
        <f t="shared" si="5"/>
        <v>0</v>
      </c>
      <c r="K149" s="106">
        <f t="shared" si="5"/>
        <v>0</v>
      </c>
      <c r="L149" s="106">
        <f t="shared" si="5"/>
        <v>0</v>
      </c>
      <c r="M149" s="106">
        <f t="shared" si="5"/>
        <v>0</v>
      </c>
      <c r="N149" s="106">
        <f t="shared" si="5"/>
        <v>0</v>
      </c>
      <c r="O149" s="106">
        <f t="shared" si="5"/>
        <v>0</v>
      </c>
      <c r="P149" s="106">
        <f t="shared" si="5"/>
        <v>0</v>
      </c>
      <c r="Q149" s="106">
        <f t="shared" si="5"/>
        <v>0</v>
      </c>
      <c r="R149" s="106">
        <f t="shared" si="5"/>
        <v>0</v>
      </c>
      <c r="S149" s="106">
        <f t="shared" si="5"/>
        <v>0</v>
      </c>
      <c r="T149" s="140"/>
      <c r="U149" s="140"/>
      <c r="V149" s="140"/>
      <c r="W149" s="140"/>
      <c r="X149" s="140"/>
    </row>
    <row r="150" spans="3:25" s="101" customFormat="1" x14ac:dyDescent="0.2">
      <c r="C150" s="109" t="s">
        <v>5</v>
      </c>
      <c r="D150" s="110"/>
      <c r="E150" s="111">
        <f t="shared" ref="E150:S150" si="6">SUM(E149:E149)</f>
        <v>0</v>
      </c>
      <c r="F150" s="111">
        <f t="shared" si="6"/>
        <v>0</v>
      </c>
      <c r="G150" s="111">
        <f t="shared" si="6"/>
        <v>0</v>
      </c>
      <c r="H150" s="111">
        <f t="shared" si="6"/>
        <v>0</v>
      </c>
      <c r="I150" s="111">
        <f t="shared" si="6"/>
        <v>0</v>
      </c>
      <c r="J150" s="111">
        <f t="shared" si="6"/>
        <v>0</v>
      </c>
      <c r="K150" s="111">
        <f t="shared" si="6"/>
        <v>0</v>
      </c>
      <c r="L150" s="111">
        <f t="shared" si="6"/>
        <v>0</v>
      </c>
      <c r="M150" s="111">
        <f t="shared" si="6"/>
        <v>0</v>
      </c>
      <c r="N150" s="111">
        <f t="shared" si="6"/>
        <v>0</v>
      </c>
      <c r="O150" s="111">
        <f t="shared" si="6"/>
        <v>0</v>
      </c>
      <c r="P150" s="111">
        <f t="shared" si="6"/>
        <v>0</v>
      </c>
      <c r="Q150" s="111">
        <f t="shared" si="6"/>
        <v>0</v>
      </c>
      <c r="R150" s="111">
        <f t="shared" si="6"/>
        <v>0</v>
      </c>
      <c r="S150" s="111">
        <f t="shared" si="6"/>
        <v>0</v>
      </c>
      <c r="T150" s="140"/>
      <c r="U150" s="140"/>
      <c r="V150" s="140"/>
      <c r="W150" s="140"/>
      <c r="X150" s="140"/>
    </row>
    <row r="151" spans="3:25" s="101" customFormat="1" x14ac:dyDescent="0.2">
      <c r="C151" s="7" t="s">
        <v>6</v>
      </c>
      <c r="D151" s="8"/>
      <c r="E151" s="8"/>
      <c r="F151" s="8"/>
      <c r="G151" s="8"/>
      <c r="H151" s="8"/>
      <c r="I151" s="8"/>
      <c r="J151" s="8"/>
      <c r="K151" s="8"/>
      <c r="L151" s="8"/>
      <c r="M151" s="8"/>
      <c r="N151" s="8"/>
      <c r="O151" s="8"/>
      <c r="P151" s="8"/>
      <c r="Q151" s="8"/>
      <c r="R151" s="8"/>
      <c r="S151" s="8"/>
      <c r="T151" s="141"/>
      <c r="U151" s="141"/>
      <c r="V151" s="141"/>
      <c r="W151" s="141"/>
      <c r="X151" s="141"/>
      <c r="Y151" s="108"/>
    </row>
    <row r="152" spans="3:25" x14ac:dyDescent="0.2">
      <c r="C152" s="107" t="s">
        <v>270</v>
      </c>
      <c r="E152" s="152">
        <f>-IF($G$60&gt;0,0.1*($H$60+$G$60*'Prezzi servizi "smart"'!$I$12),0)-IF('Project Financing'!$G$61&gt;0,0.1*('Project Financing'!$D$101+'Project Financing'!$G$61*'Prezzi servizi "smart"'!$I$17),0)</f>
        <v>0</v>
      </c>
      <c r="F152" s="152">
        <f>-IF($G$60&gt;0,0.1*($H$60+$G$60*'Prezzi servizi "smart"'!$I$12),0)-IF('Project Financing'!$G$61&gt;0,0.1*('Project Financing'!$D$101+'Project Financing'!$G$61*'Prezzi servizi "smart"'!$I$17),0)</f>
        <v>0</v>
      </c>
      <c r="G152" s="152">
        <f>-IF($G$60&gt;0,0.1*($H$60+$G$60*'Prezzi servizi "smart"'!$I$12),0)-IF('Project Financing'!$G$61&gt;0,0.1*('Project Financing'!$D$101+'Project Financing'!$G$61*'Prezzi servizi "smart"'!$I$17),0)</f>
        <v>0</v>
      </c>
      <c r="H152" s="152">
        <f>-IF($G$60&gt;0,0.1*($H$60+$G$60*'Prezzi servizi "smart"'!$I$12),0)-IF('Project Financing'!$G$61&gt;0,0.1*('Project Financing'!$D$101+'Project Financing'!$G$61*'Prezzi servizi "smart"'!$I$17),0)</f>
        <v>0</v>
      </c>
      <c r="I152" s="152">
        <f>-IF($G$60&gt;0,0.1*($H$60+$G$60*'Prezzi servizi "smart"'!$I$12),0)-IF('Project Financing'!$G$61&gt;0,0.1*('Project Financing'!$D$101+'Project Financing'!$G$61*'Prezzi servizi "smart"'!$I$17),0)</f>
        <v>0</v>
      </c>
      <c r="J152" s="152">
        <f>-IF($G$60&gt;0,0.1*($H$60+$G$60*'Prezzi servizi "smart"'!$I$12),0)-IF('Project Financing'!$G$61&gt;0,0.1*('Project Financing'!$D$101+'Project Financing'!$G$61*'Prezzi servizi "smart"'!$I$17),0)</f>
        <v>0</v>
      </c>
      <c r="K152" s="152">
        <f>-IF($G$60&gt;0,0.1*($H$60+$G$60*'Prezzi servizi "smart"'!$I$12),0)-IF('Project Financing'!$G$61&gt;0,0.1*('Project Financing'!$D$101+'Project Financing'!$G$61*'Prezzi servizi "smart"'!$I$17),0)</f>
        <v>0</v>
      </c>
      <c r="L152" s="152">
        <f>-IF($G$60&gt;0,0.1*($H$60+$G$60*'Prezzi servizi "smart"'!$I$12),0)-IF('Project Financing'!$G$61&gt;0,0.1*('Project Financing'!$D$101+'Project Financing'!$G$61*'Prezzi servizi "smart"'!$I$17),0)</f>
        <v>0</v>
      </c>
      <c r="M152" s="152">
        <f>-IF($G$60&gt;0,0.1*($H$60+$G$60*'Prezzi servizi "smart"'!$I$12),0)-IF('Project Financing'!$G$61&gt;0,0.1*('Project Financing'!$D$101+'Project Financing'!$G$61*'Prezzi servizi "smart"'!$I$17),0)</f>
        <v>0</v>
      </c>
      <c r="N152" s="152">
        <f>-IF($G$60&gt;0,0.1*($H$60+$G$60*'Prezzi servizi "smart"'!$I$12),0)-IF('Project Financing'!$G$61&gt;0,0.1*('Project Financing'!$D$101+'Project Financing'!$G$61*'Prezzi servizi "smart"'!$I$17),0)</f>
        <v>0</v>
      </c>
      <c r="O152" s="152">
        <f>-IF($G$60&gt;0,0.1*($H$60+$G$60*'Prezzi servizi "smart"'!$I$12),0)-IF('Project Financing'!$G$61&gt;0,0.1*('Project Financing'!$D$101+'Project Financing'!$G$61*'Prezzi servizi "smart"'!$I$17),0)</f>
        <v>0</v>
      </c>
      <c r="P152" s="152">
        <f>-IF($G$60&gt;0,0.1*($H$60+$G$60*'Prezzi servizi "smart"'!$I$12),0)-IF('Project Financing'!$G$61&gt;0,0.1*('Project Financing'!$D$101+'Project Financing'!$G$61*'Prezzi servizi "smart"'!$I$17),0)</f>
        <v>0</v>
      </c>
      <c r="Q152" s="152">
        <f>-IF($G$60&gt;0,0.1*($H$60+$G$60*'Prezzi servizi "smart"'!$I$12),0)-IF('Project Financing'!$G$61&gt;0,0.1*('Project Financing'!$D$101+'Project Financing'!$G$61*'Prezzi servizi "smart"'!$I$17),0)</f>
        <v>0</v>
      </c>
      <c r="R152" s="152">
        <f>-IF($G$60&gt;0,0.1*($H$60+$G$60*'Prezzi servizi "smart"'!$I$12),0)-IF('Project Financing'!$G$61&gt;0,0.1*('Project Financing'!$D$101+'Project Financing'!$G$61*'Prezzi servizi "smart"'!$I$17),0)</f>
        <v>0</v>
      </c>
      <c r="S152" s="152">
        <f>-IF($G$60&gt;0,0.1*($H$60+$G$60*'Prezzi servizi "smart"'!$I$12),0)-IF('Project Financing'!$G$61&gt;0,0.1*('Project Financing'!$D$101+'Project Financing'!$G$61*'Prezzi servizi "smart"'!$I$17),0)</f>
        <v>0</v>
      </c>
      <c r="T152" s="18"/>
      <c r="U152" s="18"/>
      <c r="V152" s="18"/>
      <c r="W152" s="18"/>
      <c r="X152" s="18"/>
      <c r="Y152" s="12"/>
    </row>
    <row r="153" spans="3:25" s="101" customFormat="1" x14ac:dyDescent="0.2">
      <c r="C153" s="107" t="s">
        <v>124</v>
      </c>
      <c r="D153" s="108"/>
      <c r="E153" s="108">
        <f t="shared" ref="E153:S153" si="7">$G$104+$G$105</f>
        <v>0</v>
      </c>
      <c r="F153" s="108">
        <f t="shared" si="7"/>
        <v>0</v>
      </c>
      <c r="G153" s="108">
        <f t="shared" si="7"/>
        <v>0</v>
      </c>
      <c r="H153" s="108">
        <f t="shared" si="7"/>
        <v>0</v>
      </c>
      <c r="I153" s="108">
        <f t="shared" si="7"/>
        <v>0</v>
      </c>
      <c r="J153" s="108">
        <f t="shared" si="7"/>
        <v>0</v>
      </c>
      <c r="K153" s="108">
        <f t="shared" si="7"/>
        <v>0</v>
      </c>
      <c r="L153" s="108">
        <f t="shared" si="7"/>
        <v>0</v>
      </c>
      <c r="M153" s="108">
        <f t="shared" si="7"/>
        <v>0</v>
      </c>
      <c r="N153" s="108">
        <f t="shared" si="7"/>
        <v>0</v>
      </c>
      <c r="O153" s="108">
        <f t="shared" si="7"/>
        <v>0</v>
      </c>
      <c r="P153" s="108">
        <f t="shared" si="7"/>
        <v>0</v>
      </c>
      <c r="Q153" s="108">
        <f t="shared" si="7"/>
        <v>0</v>
      </c>
      <c r="R153" s="108">
        <f t="shared" si="7"/>
        <v>0</v>
      </c>
      <c r="S153" s="108">
        <f t="shared" si="7"/>
        <v>0</v>
      </c>
      <c r="T153" s="140"/>
      <c r="U153" s="140"/>
      <c r="V153" s="140"/>
      <c r="W153" s="140"/>
      <c r="X153" s="140"/>
      <c r="Y153" s="108"/>
    </row>
    <row r="154" spans="3:25" s="101" customFormat="1" x14ac:dyDescent="0.2">
      <c r="C154" s="107" t="s">
        <v>128</v>
      </c>
      <c r="D154" s="108"/>
      <c r="E154" s="139">
        <f t="shared" ref="E154:S154" si="8">$G$108</f>
        <v>0</v>
      </c>
      <c r="F154" s="139">
        <f t="shared" si="8"/>
        <v>0</v>
      </c>
      <c r="G154" s="139">
        <f t="shared" si="8"/>
        <v>0</v>
      </c>
      <c r="H154" s="139">
        <f t="shared" si="8"/>
        <v>0</v>
      </c>
      <c r="I154" s="139">
        <f t="shared" si="8"/>
        <v>0</v>
      </c>
      <c r="J154" s="139">
        <f t="shared" si="8"/>
        <v>0</v>
      </c>
      <c r="K154" s="139">
        <f t="shared" si="8"/>
        <v>0</v>
      </c>
      <c r="L154" s="139">
        <f t="shared" si="8"/>
        <v>0</v>
      </c>
      <c r="M154" s="139">
        <f t="shared" si="8"/>
        <v>0</v>
      </c>
      <c r="N154" s="139">
        <f t="shared" si="8"/>
        <v>0</v>
      </c>
      <c r="O154" s="139">
        <f t="shared" si="8"/>
        <v>0</v>
      </c>
      <c r="P154" s="139">
        <f t="shared" si="8"/>
        <v>0</v>
      </c>
      <c r="Q154" s="139">
        <f t="shared" si="8"/>
        <v>0</v>
      </c>
      <c r="R154" s="139">
        <f t="shared" si="8"/>
        <v>0</v>
      </c>
      <c r="S154" s="139">
        <f t="shared" si="8"/>
        <v>0</v>
      </c>
      <c r="T154" s="140"/>
      <c r="U154" s="140"/>
      <c r="V154" s="140"/>
      <c r="W154" s="140"/>
      <c r="X154" s="140"/>
      <c r="Y154" s="108"/>
    </row>
    <row r="155" spans="3:25" s="101" customFormat="1" x14ac:dyDescent="0.2">
      <c r="C155" s="109" t="s">
        <v>7</v>
      </c>
      <c r="D155" s="110"/>
      <c r="E155" s="111">
        <f t="shared" ref="E155:S155" si="9">SUM(E153:E154)</f>
        <v>0</v>
      </c>
      <c r="F155" s="111">
        <f t="shared" si="9"/>
        <v>0</v>
      </c>
      <c r="G155" s="111">
        <f t="shared" si="9"/>
        <v>0</v>
      </c>
      <c r="H155" s="111">
        <f t="shared" si="9"/>
        <v>0</v>
      </c>
      <c r="I155" s="111">
        <f t="shared" si="9"/>
        <v>0</v>
      </c>
      <c r="J155" s="111">
        <f t="shared" si="9"/>
        <v>0</v>
      </c>
      <c r="K155" s="111">
        <f t="shared" si="9"/>
        <v>0</v>
      </c>
      <c r="L155" s="111">
        <f t="shared" si="9"/>
        <v>0</v>
      </c>
      <c r="M155" s="111">
        <f t="shared" si="9"/>
        <v>0</v>
      </c>
      <c r="N155" s="111">
        <f t="shared" si="9"/>
        <v>0</v>
      </c>
      <c r="O155" s="111">
        <f t="shared" si="9"/>
        <v>0</v>
      </c>
      <c r="P155" s="111">
        <f t="shared" si="9"/>
        <v>0</v>
      </c>
      <c r="Q155" s="111">
        <f t="shared" si="9"/>
        <v>0</v>
      </c>
      <c r="R155" s="111">
        <f t="shared" si="9"/>
        <v>0</v>
      </c>
      <c r="S155" s="111">
        <f t="shared" si="9"/>
        <v>0</v>
      </c>
      <c r="T155" s="140"/>
      <c r="U155" s="140"/>
      <c r="V155" s="140"/>
      <c r="W155" s="140"/>
      <c r="X155" s="140"/>
      <c r="Y155" s="108"/>
    </row>
    <row r="156" spans="3:25" s="101" customFormat="1" x14ac:dyDescent="0.2">
      <c r="C156" s="7" t="s">
        <v>8</v>
      </c>
      <c r="D156" s="8"/>
      <c r="E156" s="8"/>
      <c r="F156" s="8"/>
      <c r="G156" s="8"/>
      <c r="H156" s="8"/>
      <c r="I156" s="8"/>
      <c r="J156" s="8"/>
      <c r="K156" s="8"/>
      <c r="L156" s="8"/>
      <c r="M156" s="8"/>
      <c r="N156" s="8"/>
      <c r="O156" s="8"/>
      <c r="P156" s="8"/>
      <c r="Q156" s="8"/>
      <c r="R156" s="8"/>
      <c r="S156" s="8"/>
      <c r="T156" s="141"/>
      <c r="U156" s="141"/>
      <c r="V156" s="141"/>
      <c r="W156" s="141"/>
      <c r="X156" s="141"/>
      <c r="Y156" s="108"/>
    </row>
    <row r="157" spans="3:25" x14ac:dyDescent="0.2">
      <c r="C157" s="105" t="s">
        <v>9</v>
      </c>
      <c r="D157" s="106"/>
      <c r="E157" s="106">
        <f t="shared" ref="E157:S157" si="10">$D$108/$D$109</f>
        <v>0</v>
      </c>
      <c r="F157" s="106">
        <f t="shared" si="10"/>
        <v>0</v>
      </c>
      <c r="G157" s="106">
        <f t="shared" si="10"/>
        <v>0</v>
      </c>
      <c r="H157" s="106">
        <f t="shared" si="10"/>
        <v>0</v>
      </c>
      <c r="I157" s="106">
        <f t="shared" si="10"/>
        <v>0</v>
      </c>
      <c r="J157" s="106">
        <f t="shared" si="10"/>
        <v>0</v>
      </c>
      <c r="K157" s="106">
        <f t="shared" si="10"/>
        <v>0</v>
      </c>
      <c r="L157" s="106">
        <f t="shared" si="10"/>
        <v>0</v>
      </c>
      <c r="M157" s="106">
        <f t="shared" si="10"/>
        <v>0</v>
      </c>
      <c r="N157" s="106">
        <f t="shared" si="10"/>
        <v>0</v>
      </c>
      <c r="O157" s="106">
        <f t="shared" si="10"/>
        <v>0</v>
      </c>
      <c r="P157" s="106">
        <f t="shared" si="10"/>
        <v>0</v>
      </c>
      <c r="Q157" s="106">
        <f t="shared" si="10"/>
        <v>0</v>
      </c>
      <c r="R157" s="106">
        <f t="shared" si="10"/>
        <v>0</v>
      </c>
      <c r="S157" s="106">
        <f t="shared" si="10"/>
        <v>0</v>
      </c>
      <c r="T157" s="18"/>
      <c r="U157" s="18"/>
      <c r="V157" s="18"/>
      <c r="W157" s="18"/>
      <c r="X157" s="18"/>
      <c r="Y157" s="12"/>
    </row>
    <row r="158" spans="3:25" s="101" customFormat="1" x14ac:dyDescent="0.2">
      <c r="C158" s="107" t="s">
        <v>10</v>
      </c>
      <c r="D158" s="108"/>
      <c r="E158" s="108">
        <f t="shared" ref="E158:S158" si="11">E150-E155-E157</f>
        <v>0</v>
      </c>
      <c r="F158" s="108">
        <f t="shared" si="11"/>
        <v>0</v>
      </c>
      <c r="G158" s="108">
        <f t="shared" si="11"/>
        <v>0</v>
      </c>
      <c r="H158" s="108">
        <f t="shared" si="11"/>
        <v>0</v>
      </c>
      <c r="I158" s="108">
        <f t="shared" si="11"/>
        <v>0</v>
      </c>
      <c r="J158" s="108">
        <f t="shared" si="11"/>
        <v>0</v>
      </c>
      <c r="K158" s="108">
        <f t="shared" si="11"/>
        <v>0</v>
      </c>
      <c r="L158" s="108">
        <f t="shared" si="11"/>
        <v>0</v>
      </c>
      <c r="M158" s="108">
        <f t="shared" si="11"/>
        <v>0</v>
      </c>
      <c r="N158" s="108">
        <f t="shared" si="11"/>
        <v>0</v>
      </c>
      <c r="O158" s="108">
        <f t="shared" si="11"/>
        <v>0</v>
      </c>
      <c r="P158" s="108">
        <f t="shared" si="11"/>
        <v>0</v>
      </c>
      <c r="Q158" s="108">
        <f t="shared" si="11"/>
        <v>0</v>
      </c>
      <c r="R158" s="108">
        <f t="shared" si="11"/>
        <v>0</v>
      </c>
      <c r="S158" s="108">
        <f t="shared" si="11"/>
        <v>0</v>
      </c>
      <c r="T158" s="140"/>
      <c r="U158" s="140"/>
      <c r="V158" s="140"/>
      <c r="W158" s="140"/>
      <c r="X158" s="140"/>
      <c r="Y158" s="108"/>
    </row>
    <row r="159" spans="3:25" s="101" customFormat="1" x14ac:dyDescent="0.2">
      <c r="C159" s="109" t="s">
        <v>11</v>
      </c>
      <c r="D159" s="110"/>
      <c r="E159" s="111">
        <f t="shared" ref="E159:S159" si="12">E158*$D$113</f>
        <v>0</v>
      </c>
      <c r="F159" s="111">
        <f t="shared" si="12"/>
        <v>0</v>
      </c>
      <c r="G159" s="111">
        <f t="shared" si="12"/>
        <v>0</v>
      </c>
      <c r="H159" s="111">
        <f t="shared" si="12"/>
        <v>0</v>
      </c>
      <c r="I159" s="111">
        <f t="shared" si="12"/>
        <v>0</v>
      </c>
      <c r="J159" s="111">
        <f t="shared" si="12"/>
        <v>0</v>
      </c>
      <c r="K159" s="111">
        <f t="shared" si="12"/>
        <v>0</v>
      </c>
      <c r="L159" s="111">
        <f t="shared" si="12"/>
        <v>0</v>
      </c>
      <c r="M159" s="111">
        <f t="shared" si="12"/>
        <v>0</v>
      </c>
      <c r="N159" s="111">
        <f t="shared" si="12"/>
        <v>0</v>
      </c>
      <c r="O159" s="111">
        <f t="shared" si="12"/>
        <v>0</v>
      </c>
      <c r="P159" s="111">
        <f t="shared" si="12"/>
        <v>0</v>
      </c>
      <c r="Q159" s="111">
        <f t="shared" si="12"/>
        <v>0</v>
      </c>
      <c r="R159" s="111">
        <f t="shared" si="12"/>
        <v>0</v>
      </c>
      <c r="S159" s="111">
        <f t="shared" si="12"/>
        <v>0</v>
      </c>
      <c r="T159" s="140"/>
      <c r="U159" s="140"/>
      <c r="V159" s="140"/>
      <c r="W159" s="140"/>
      <c r="X159" s="140"/>
      <c r="Y159" s="108"/>
    </row>
    <row r="160" spans="3:25" s="101" customFormat="1" x14ac:dyDescent="0.2">
      <c r="C160" s="7" t="s">
        <v>12</v>
      </c>
      <c r="D160" s="8"/>
      <c r="E160" s="8"/>
      <c r="F160" s="8"/>
      <c r="G160" s="8"/>
      <c r="H160" s="8"/>
      <c r="I160" s="8"/>
      <c r="J160" s="8"/>
      <c r="K160" s="8"/>
      <c r="L160" s="8"/>
      <c r="M160" s="8"/>
      <c r="N160" s="8"/>
      <c r="O160" s="8"/>
      <c r="P160" s="8"/>
      <c r="Q160" s="8"/>
      <c r="R160" s="8"/>
      <c r="S160" s="8"/>
      <c r="T160" s="141"/>
      <c r="U160" s="141"/>
      <c r="V160" s="141"/>
      <c r="W160" s="141"/>
      <c r="X160" s="141"/>
      <c r="Y160" s="108"/>
    </row>
    <row r="161" spans="3:24" x14ac:dyDescent="0.2">
      <c r="C161" s="105" t="s">
        <v>12</v>
      </c>
      <c r="D161" s="106">
        <f>D147</f>
        <v>0</v>
      </c>
      <c r="E161" s="106">
        <f t="shared" ref="E161:S161" si="13">E150-E155-E159</f>
        <v>0</v>
      </c>
      <c r="F161" s="106">
        <f t="shared" si="13"/>
        <v>0</v>
      </c>
      <c r="G161" s="106">
        <f t="shared" si="13"/>
        <v>0</v>
      </c>
      <c r="H161" s="106">
        <f t="shared" si="13"/>
        <v>0</v>
      </c>
      <c r="I161" s="106">
        <f t="shared" si="13"/>
        <v>0</v>
      </c>
      <c r="J161" s="106">
        <f t="shared" si="13"/>
        <v>0</v>
      </c>
      <c r="K161" s="106">
        <f t="shared" si="13"/>
        <v>0</v>
      </c>
      <c r="L161" s="106">
        <f t="shared" si="13"/>
        <v>0</v>
      </c>
      <c r="M161" s="106">
        <f t="shared" si="13"/>
        <v>0</v>
      </c>
      <c r="N161" s="106">
        <f t="shared" si="13"/>
        <v>0</v>
      </c>
      <c r="O161" s="106">
        <f t="shared" si="13"/>
        <v>0</v>
      </c>
      <c r="P161" s="106">
        <f t="shared" si="13"/>
        <v>0</v>
      </c>
      <c r="Q161" s="106">
        <f t="shared" si="13"/>
        <v>0</v>
      </c>
      <c r="R161" s="106">
        <f t="shared" si="13"/>
        <v>0</v>
      </c>
      <c r="S161" s="106">
        <f t="shared" si="13"/>
        <v>0</v>
      </c>
      <c r="T161" s="18"/>
      <c r="U161" s="18"/>
      <c r="V161" s="18"/>
      <c r="W161" s="18"/>
      <c r="X161" s="18"/>
    </row>
    <row r="162" spans="3:24" s="101" customFormat="1" x14ac:dyDescent="0.2">
      <c r="C162" s="107" t="s">
        <v>13</v>
      </c>
      <c r="D162" s="108">
        <f t="shared" ref="D162:S162" si="14">D161/(1+$D$121)^D145</f>
        <v>0</v>
      </c>
      <c r="E162" s="108">
        <f t="shared" si="14"/>
        <v>0</v>
      </c>
      <c r="F162" s="108">
        <f t="shared" si="14"/>
        <v>0</v>
      </c>
      <c r="G162" s="108">
        <f t="shared" si="14"/>
        <v>0</v>
      </c>
      <c r="H162" s="108">
        <f t="shared" si="14"/>
        <v>0</v>
      </c>
      <c r="I162" s="108">
        <f t="shared" si="14"/>
        <v>0</v>
      </c>
      <c r="J162" s="108">
        <f t="shared" si="14"/>
        <v>0</v>
      </c>
      <c r="K162" s="108">
        <f t="shared" si="14"/>
        <v>0</v>
      </c>
      <c r="L162" s="108">
        <f t="shared" si="14"/>
        <v>0</v>
      </c>
      <c r="M162" s="108">
        <f t="shared" si="14"/>
        <v>0</v>
      </c>
      <c r="N162" s="108">
        <f t="shared" si="14"/>
        <v>0</v>
      </c>
      <c r="O162" s="108">
        <f t="shared" si="14"/>
        <v>0</v>
      </c>
      <c r="P162" s="108">
        <f t="shared" si="14"/>
        <v>0</v>
      </c>
      <c r="Q162" s="108">
        <f t="shared" si="14"/>
        <v>0</v>
      </c>
      <c r="R162" s="108">
        <f t="shared" si="14"/>
        <v>0</v>
      </c>
      <c r="S162" s="108">
        <f t="shared" si="14"/>
        <v>0</v>
      </c>
      <c r="T162" s="140"/>
      <c r="U162" s="140"/>
      <c r="V162" s="140"/>
      <c r="W162" s="140"/>
      <c r="X162" s="140"/>
    </row>
    <row r="163" spans="3:24" s="101" customFormat="1" x14ac:dyDescent="0.2">
      <c r="C163" s="115" t="s">
        <v>181</v>
      </c>
      <c r="D163" s="112">
        <f>D162</f>
        <v>0</v>
      </c>
      <c r="E163" s="112">
        <f>D163+E162</f>
        <v>0</v>
      </c>
      <c r="F163" s="112">
        <f>E163+F162</f>
        <v>0</v>
      </c>
      <c r="G163" s="112">
        <f t="shared" ref="G163:S163" si="15">F163+G162</f>
        <v>0</v>
      </c>
      <c r="H163" s="112">
        <f t="shared" si="15"/>
        <v>0</v>
      </c>
      <c r="I163" s="112">
        <f t="shared" si="15"/>
        <v>0</v>
      </c>
      <c r="J163" s="112">
        <f t="shared" si="15"/>
        <v>0</v>
      </c>
      <c r="K163" s="112">
        <f t="shared" si="15"/>
        <v>0</v>
      </c>
      <c r="L163" s="112">
        <f t="shared" si="15"/>
        <v>0</v>
      </c>
      <c r="M163" s="112">
        <f t="shared" si="15"/>
        <v>0</v>
      </c>
      <c r="N163" s="112">
        <f t="shared" si="15"/>
        <v>0</v>
      </c>
      <c r="O163" s="112">
        <f t="shared" si="15"/>
        <v>0</v>
      </c>
      <c r="P163" s="112">
        <f t="shared" si="15"/>
        <v>0</v>
      </c>
      <c r="Q163" s="112">
        <f t="shared" si="15"/>
        <v>0</v>
      </c>
      <c r="R163" s="112">
        <f t="shared" si="15"/>
        <v>0</v>
      </c>
      <c r="S163" s="112">
        <f t="shared" si="15"/>
        <v>0</v>
      </c>
      <c r="T163" s="140"/>
      <c r="U163" s="140"/>
      <c r="V163" s="140"/>
      <c r="W163" s="140"/>
      <c r="X163" s="140"/>
    </row>
    <row r="164" spans="3:24" s="101" customFormat="1" x14ac:dyDescent="0.2">
      <c r="C164" s="14"/>
      <c r="D164" s="13"/>
      <c r="E164"/>
      <c r="F164"/>
      <c r="G164"/>
      <c r="H164"/>
      <c r="I164"/>
      <c r="J164"/>
      <c r="K164"/>
      <c r="L164"/>
      <c r="M164"/>
      <c r="N164"/>
      <c r="O164"/>
      <c r="P164"/>
      <c r="Q164"/>
      <c r="R164"/>
      <c r="S164"/>
      <c r="T164" s="141"/>
      <c r="U164" s="141"/>
      <c r="V164" s="141"/>
      <c r="W164" s="141"/>
      <c r="X164" s="141"/>
    </row>
    <row r="165" spans="3:24" x14ac:dyDescent="0.2">
      <c r="C165" s="146" t="s">
        <v>14</v>
      </c>
      <c r="D165" s="147"/>
      <c r="T165" s="18"/>
      <c r="U165" s="18"/>
      <c r="V165" s="18"/>
      <c r="W165" s="18"/>
      <c r="X165" s="18"/>
    </row>
    <row r="166" spans="3:24" x14ac:dyDescent="0.2">
      <c r="C166" s="15" t="s">
        <v>15</v>
      </c>
      <c r="D166" s="78">
        <f>SUM(D161:Z161)</f>
        <v>0</v>
      </c>
    </row>
    <row r="167" spans="3:24" x14ac:dyDescent="0.2">
      <c r="C167" s="16" t="s">
        <v>16</v>
      </c>
      <c r="D167" s="2" t="e">
        <f>IRR(D161:S161)</f>
        <v>#NUM!</v>
      </c>
    </row>
    <row r="168" spans="3:24" x14ac:dyDescent="0.2">
      <c r="C168" s="11" t="s">
        <v>17</v>
      </c>
      <c r="D168" s="4">
        <f>IF(COUNTIF(D162:X162,"&lt;0")&lt;16,COUNTIF(D162:X162,"&lt;0"),"&gt;vu")</f>
        <v>0</v>
      </c>
    </row>
    <row r="169" spans="3:24" x14ac:dyDescent="0.2">
      <c r="C169" s="14"/>
      <c r="D169" s="12"/>
    </row>
    <row r="170" spans="3:24" x14ac:dyDescent="0.2">
      <c r="C170" s="14"/>
      <c r="D170" s="12"/>
    </row>
    <row r="171" spans="3:24" x14ac:dyDescent="0.2">
      <c r="C171" s="14"/>
      <c r="D171" s="12"/>
    </row>
    <row r="172" spans="3:24" x14ac:dyDescent="0.2">
      <c r="C172" s="14"/>
      <c r="D172" s="12"/>
    </row>
    <row r="173" spans="3:24" x14ac:dyDescent="0.2">
      <c r="C173" s="14"/>
      <c r="D173" s="12"/>
    </row>
    <row r="174" spans="3:24" x14ac:dyDescent="0.2">
      <c r="C174" s="14"/>
      <c r="D174" s="12"/>
    </row>
    <row r="175" spans="3:24" x14ac:dyDescent="0.2">
      <c r="C175" s="14"/>
      <c r="D175" s="12"/>
    </row>
    <row r="177" spans="3:19" ht="16" thickBot="1" x14ac:dyDescent="0.25"/>
    <row r="178" spans="3:19" ht="16" thickBot="1" x14ac:dyDescent="0.25">
      <c r="C178" s="431" t="s">
        <v>279</v>
      </c>
      <c r="D178" s="432"/>
      <c r="E178" s="262" t="s">
        <v>119</v>
      </c>
    </row>
    <row r="180" spans="3:19" x14ac:dyDescent="0.2">
      <c r="C180" s="5" t="s">
        <v>2</v>
      </c>
      <c r="D180" s="6">
        <v>0</v>
      </c>
      <c r="E180" s="6">
        <v>1</v>
      </c>
      <c r="F180" s="6">
        <v>2</v>
      </c>
      <c r="G180" s="6">
        <v>3</v>
      </c>
      <c r="H180" s="6">
        <v>4</v>
      </c>
      <c r="I180" s="6">
        <v>5</v>
      </c>
      <c r="J180" s="6">
        <v>6</v>
      </c>
      <c r="K180" s="6">
        <v>7</v>
      </c>
      <c r="L180" s="6">
        <v>8</v>
      </c>
      <c r="M180" s="6">
        <v>9</v>
      </c>
      <c r="N180" s="6">
        <v>10</v>
      </c>
      <c r="O180" s="6">
        <v>11</v>
      </c>
      <c r="P180" s="6">
        <v>12</v>
      </c>
      <c r="Q180" s="6">
        <v>13</v>
      </c>
      <c r="R180" s="6">
        <v>14</v>
      </c>
      <c r="S180" s="6">
        <v>15</v>
      </c>
    </row>
    <row r="181" spans="3:19" x14ac:dyDescent="0.2">
      <c r="C181" t="s">
        <v>171</v>
      </c>
      <c r="E181" s="152">
        <f>+($G$93-$G$92)*$G$91</f>
        <v>0</v>
      </c>
      <c r="F181" s="152">
        <f t="shared" ref="F181:S181" si="16">+($G$93-$G$92)*$G$91</f>
        <v>0</v>
      </c>
      <c r="G181" s="152">
        <f t="shared" si="16"/>
        <v>0</v>
      </c>
      <c r="H181" s="152">
        <f t="shared" si="16"/>
        <v>0</v>
      </c>
      <c r="I181" s="152">
        <f t="shared" si="16"/>
        <v>0</v>
      </c>
      <c r="J181" s="152">
        <f t="shared" si="16"/>
        <v>0</v>
      </c>
      <c r="K181" s="152">
        <f t="shared" si="16"/>
        <v>0</v>
      </c>
      <c r="L181" s="152">
        <f t="shared" si="16"/>
        <v>0</v>
      </c>
      <c r="M181" s="152">
        <f t="shared" si="16"/>
        <v>0</v>
      </c>
      <c r="N181" s="152">
        <f t="shared" si="16"/>
        <v>0</v>
      </c>
      <c r="O181" s="152">
        <f t="shared" si="16"/>
        <v>0</v>
      </c>
      <c r="P181" s="152">
        <f t="shared" si="16"/>
        <v>0</v>
      </c>
      <c r="Q181" s="152">
        <f t="shared" si="16"/>
        <v>0</v>
      </c>
      <c r="R181" s="152">
        <f t="shared" si="16"/>
        <v>0</v>
      </c>
      <c r="S181" s="152">
        <f t="shared" si="16"/>
        <v>0</v>
      </c>
    </row>
    <row r="182" spans="3:19" x14ac:dyDescent="0.2">
      <c r="C182" t="s">
        <v>172</v>
      </c>
      <c r="E182" s="142">
        <f>+($G$87-$G$86)</f>
        <v>0</v>
      </c>
      <c r="F182" s="142">
        <f t="shared" ref="F182:S182" si="17">+($G$87-$G$86)</f>
        <v>0</v>
      </c>
      <c r="G182" s="142">
        <f t="shared" si="17"/>
        <v>0</v>
      </c>
      <c r="H182" s="142">
        <f t="shared" si="17"/>
        <v>0</v>
      </c>
      <c r="I182" s="142">
        <f t="shared" si="17"/>
        <v>0</v>
      </c>
      <c r="J182" s="142">
        <f t="shared" si="17"/>
        <v>0</v>
      </c>
      <c r="K182" s="142">
        <f t="shared" si="17"/>
        <v>0</v>
      </c>
      <c r="L182" s="142">
        <f t="shared" si="17"/>
        <v>0</v>
      </c>
      <c r="M182" s="142">
        <f t="shared" si="17"/>
        <v>0</v>
      </c>
      <c r="N182" s="142">
        <f t="shared" si="17"/>
        <v>0</v>
      </c>
      <c r="O182" s="142">
        <f t="shared" si="17"/>
        <v>0</v>
      </c>
      <c r="P182" s="142">
        <f t="shared" si="17"/>
        <v>0</v>
      </c>
      <c r="Q182" s="142">
        <f t="shared" si="17"/>
        <v>0</v>
      </c>
      <c r="R182" s="142">
        <f t="shared" si="17"/>
        <v>0</v>
      </c>
      <c r="S182" s="142">
        <f t="shared" si="17"/>
        <v>0</v>
      </c>
    </row>
    <row r="183" spans="3:19" x14ac:dyDescent="0.2">
      <c r="C183" t="s">
        <v>278</v>
      </c>
      <c r="E183" s="142">
        <f>IF($E$178="si",$G$101,0)</f>
        <v>0</v>
      </c>
      <c r="F183" s="142">
        <f>IF($E$178="si",$G$101,0)</f>
        <v>0</v>
      </c>
      <c r="G183" s="142">
        <f t="shared" ref="G183:S183" si="18">IF($E$178="si",$G$101,0)</f>
        <v>0</v>
      </c>
      <c r="H183" s="142">
        <f t="shared" si="18"/>
        <v>0</v>
      </c>
      <c r="I183" s="142">
        <f t="shared" si="18"/>
        <v>0</v>
      </c>
      <c r="J183" s="142">
        <f t="shared" si="18"/>
        <v>0</v>
      </c>
      <c r="K183" s="142">
        <f t="shared" si="18"/>
        <v>0</v>
      </c>
      <c r="L183" s="142">
        <f t="shared" si="18"/>
        <v>0</v>
      </c>
      <c r="M183" s="142">
        <f t="shared" si="18"/>
        <v>0</v>
      </c>
      <c r="N183" s="142">
        <f t="shared" si="18"/>
        <v>0</v>
      </c>
      <c r="O183" s="142">
        <f t="shared" si="18"/>
        <v>0</v>
      </c>
      <c r="P183" s="142">
        <f t="shared" si="18"/>
        <v>0</v>
      </c>
      <c r="Q183" s="142">
        <f t="shared" si="18"/>
        <v>0</v>
      </c>
      <c r="R183" s="142">
        <f t="shared" si="18"/>
        <v>0</v>
      </c>
      <c r="S183" s="142">
        <f t="shared" si="18"/>
        <v>0</v>
      </c>
    </row>
    <row r="184" spans="3:19" x14ac:dyDescent="0.2">
      <c r="C184" s="320" t="s">
        <v>173</v>
      </c>
      <c r="D184" s="318"/>
      <c r="E184" s="319">
        <f>(E181+E182+E183)/(1+$D$121)^E180</f>
        <v>0</v>
      </c>
      <c r="F184" s="319">
        <f>(F181+F182+F183)/(1+$D$121)^F180</f>
        <v>0</v>
      </c>
      <c r="G184" s="319">
        <f t="shared" ref="G184:S184" si="19">(G181+G182+G183)/(1+$D$121)^G180</f>
        <v>0</v>
      </c>
      <c r="H184" s="319">
        <f t="shared" si="19"/>
        <v>0</v>
      </c>
      <c r="I184" s="319">
        <f t="shared" si="19"/>
        <v>0</v>
      </c>
      <c r="J184" s="319">
        <f t="shared" si="19"/>
        <v>0</v>
      </c>
      <c r="K184" s="319">
        <f t="shared" si="19"/>
        <v>0</v>
      </c>
      <c r="L184" s="319">
        <f t="shared" si="19"/>
        <v>0</v>
      </c>
      <c r="M184" s="319">
        <f t="shared" si="19"/>
        <v>0</v>
      </c>
      <c r="N184" s="319">
        <f t="shared" si="19"/>
        <v>0</v>
      </c>
      <c r="O184" s="319">
        <f t="shared" si="19"/>
        <v>0</v>
      </c>
      <c r="P184" s="319">
        <f t="shared" si="19"/>
        <v>0</v>
      </c>
      <c r="Q184" s="319">
        <f t="shared" si="19"/>
        <v>0</v>
      </c>
      <c r="R184" s="319">
        <f t="shared" si="19"/>
        <v>0</v>
      </c>
      <c r="S184" s="319">
        <f t="shared" si="19"/>
        <v>0</v>
      </c>
    </row>
    <row r="185" spans="3:19" s="75" customFormat="1" x14ac:dyDescent="0.2">
      <c r="C185" s="131"/>
      <c r="E185" s="426"/>
      <c r="F185" s="426"/>
      <c r="G185" s="426"/>
      <c r="H185" s="426"/>
      <c r="I185" s="426"/>
      <c r="J185" s="426"/>
      <c r="K185" s="426"/>
      <c r="L185" s="426"/>
      <c r="M185" s="426"/>
      <c r="N185" s="426"/>
      <c r="O185" s="426"/>
      <c r="P185" s="426"/>
      <c r="Q185" s="426"/>
      <c r="R185" s="426"/>
      <c r="S185" s="426"/>
    </row>
    <row r="186" spans="3:19" x14ac:dyDescent="0.2">
      <c r="C186" s="5" t="s">
        <v>2</v>
      </c>
      <c r="D186" s="6">
        <v>0</v>
      </c>
      <c r="E186" s="6">
        <v>1</v>
      </c>
      <c r="F186" s="6">
        <v>2</v>
      </c>
      <c r="G186" s="6">
        <v>3</v>
      </c>
      <c r="H186" s="6">
        <v>4</v>
      </c>
      <c r="I186" s="6">
        <v>5</v>
      </c>
      <c r="J186" s="6">
        <v>6</v>
      </c>
      <c r="K186" s="6">
        <v>7</v>
      </c>
      <c r="L186" s="6">
        <v>8</v>
      </c>
      <c r="M186" s="6">
        <v>9</v>
      </c>
      <c r="N186" s="6">
        <v>10</v>
      </c>
      <c r="O186" s="6">
        <v>11</v>
      </c>
      <c r="P186" s="6">
        <v>12</v>
      </c>
      <c r="Q186" s="6">
        <v>13</v>
      </c>
      <c r="R186" s="6">
        <v>14</v>
      </c>
      <c r="S186" s="6">
        <v>15</v>
      </c>
    </row>
    <row r="187" spans="3:19" x14ac:dyDescent="0.2">
      <c r="C187" t="s">
        <v>289</v>
      </c>
      <c r="E187" s="142">
        <f>(E181)/(1+$D$121)^E180</f>
        <v>0</v>
      </c>
      <c r="F187" s="142">
        <f t="shared" ref="F187:S187" si="20">(F181)/(1+$D$121)^F180</f>
        <v>0</v>
      </c>
      <c r="G187" s="142">
        <f t="shared" si="20"/>
        <v>0</v>
      </c>
      <c r="H187" s="142">
        <f t="shared" si="20"/>
        <v>0</v>
      </c>
      <c r="I187" s="142">
        <f t="shared" si="20"/>
        <v>0</v>
      </c>
      <c r="J187" s="142">
        <f t="shared" si="20"/>
        <v>0</v>
      </c>
      <c r="K187" s="142">
        <f t="shared" si="20"/>
        <v>0</v>
      </c>
      <c r="L187" s="142">
        <f t="shared" si="20"/>
        <v>0</v>
      </c>
      <c r="M187" s="142">
        <f t="shared" si="20"/>
        <v>0</v>
      </c>
      <c r="N187" s="142">
        <f t="shared" si="20"/>
        <v>0</v>
      </c>
      <c r="O187" s="142">
        <f t="shared" si="20"/>
        <v>0</v>
      </c>
      <c r="P187" s="142">
        <f t="shared" si="20"/>
        <v>0</v>
      </c>
      <c r="Q187" s="142">
        <f t="shared" si="20"/>
        <v>0</v>
      </c>
      <c r="R187" s="142">
        <f t="shared" si="20"/>
        <v>0</v>
      </c>
      <c r="S187" s="142">
        <f t="shared" si="20"/>
        <v>0</v>
      </c>
    </row>
    <row r="188" spans="3:19" x14ac:dyDescent="0.2">
      <c r="C188" t="s">
        <v>290</v>
      </c>
      <c r="E188" s="142">
        <f>(E182)/(1+$D$121)^E180</f>
        <v>0</v>
      </c>
      <c r="F188" s="142">
        <f t="shared" ref="F188:S188" si="21">(F182)/(1+$D$121)^F180</f>
        <v>0</v>
      </c>
      <c r="G188" s="142">
        <f t="shared" si="21"/>
        <v>0</v>
      </c>
      <c r="H188" s="142">
        <f t="shared" si="21"/>
        <v>0</v>
      </c>
      <c r="I188" s="142">
        <f t="shared" si="21"/>
        <v>0</v>
      </c>
      <c r="J188" s="142">
        <f t="shared" si="21"/>
        <v>0</v>
      </c>
      <c r="K188" s="142">
        <f t="shared" si="21"/>
        <v>0</v>
      </c>
      <c r="L188" s="142">
        <f t="shared" si="21"/>
        <v>0</v>
      </c>
      <c r="M188" s="142">
        <f t="shared" si="21"/>
        <v>0</v>
      </c>
      <c r="N188" s="142">
        <f t="shared" si="21"/>
        <v>0</v>
      </c>
      <c r="O188" s="142">
        <f t="shared" si="21"/>
        <v>0</v>
      </c>
      <c r="P188" s="142">
        <f t="shared" si="21"/>
        <v>0</v>
      </c>
      <c r="Q188" s="142">
        <f t="shared" si="21"/>
        <v>0</v>
      </c>
      <c r="R188" s="142">
        <f t="shared" si="21"/>
        <v>0</v>
      </c>
      <c r="S188" s="142">
        <f t="shared" si="21"/>
        <v>0</v>
      </c>
    </row>
    <row r="189" spans="3:19" x14ac:dyDescent="0.2">
      <c r="C189" t="s">
        <v>291</v>
      </c>
      <c r="E189" s="142">
        <f>(E183)/(1+$D$121)^E180</f>
        <v>0</v>
      </c>
      <c r="F189" s="142">
        <f t="shared" ref="F189:S189" si="22">(F183)/(1+$D$121)^F180</f>
        <v>0</v>
      </c>
      <c r="G189" s="142">
        <f t="shared" si="22"/>
        <v>0</v>
      </c>
      <c r="H189" s="142">
        <f t="shared" si="22"/>
        <v>0</v>
      </c>
      <c r="I189" s="142">
        <f t="shared" si="22"/>
        <v>0</v>
      </c>
      <c r="J189" s="142">
        <f t="shared" si="22"/>
        <v>0</v>
      </c>
      <c r="K189" s="142">
        <f t="shared" si="22"/>
        <v>0</v>
      </c>
      <c r="L189" s="142">
        <f t="shared" si="22"/>
        <v>0</v>
      </c>
      <c r="M189" s="142">
        <f t="shared" si="22"/>
        <v>0</v>
      </c>
      <c r="N189" s="142">
        <f t="shared" si="22"/>
        <v>0</v>
      </c>
      <c r="O189" s="142">
        <f t="shared" si="22"/>
        <v>0</v>
      </c>
      <c r="P189" s="142">
        <f t="shared" si="22"/>
        <v>0</v>
      </c>
      <c r="Q189" s="142">
        <f t="shared" si="22"/>
        <v>0</v>
      </c>
      <c r="R189" s="142">
        <f t="shared" si="22"/>
        <v>0</v>
      </c>
      <c r="S189" s="142">
        <f t="shared" si="22"/>
        <v>0</v>
      </c>
    </row>
    <row r="190" spans="3:19" ht="16" thickBot="1" x14ac:dyDescent="0.25"/>
    <row r="191" spans="3:19" ht="16" thickBot="1" x14ac:dyDescent="0.25">
      <c r="C191" s="154" t="s">
        <v>175</v>
      </c>
      <c r="D191" s="153">
        <f>SUM(E184:S184)</f>
        <v>0</v>
      </c>
    </row>
    <row r="192" spans="3:19" x14ac:dyDescent="0.2">
      <c r="C192" s="314" t="s">
        <v>287</v>
      </c>
      <c r="D192" s="316">
        <f>SUM(E187:S187)</f>
        <v>0</v>
      </c>
    </row>
    <row r="193" spans="3:4" x14ac:dyDescent="0.2">
      <c r="C193" s="315" t="s">
        <v>310</v>
      </c>
      <c r="D193" s="317">
        <f>SUM(E188:S188)</f>
        <v>0</v>
      </c>
    </row>
    <row r="194" spans="3:4" ht="16" thickBot="1" x14ac:dyDescent="0.25">
      <c r="C194" s="313" t="s">
        <v>288</v>
      </c>
      <c r="D194" s="233">
        <f>SUM(E189:S189)</f>
        <v>0</v>
      </c>
    </row>
    <row r="196" spans="3:4" ht="16" thickBot="1" x14ac:dyDescent="0.25"/>
    <row r="197" spans="3:4" ht="17" thickBot="1" x14ac:dyDescent="0.25">
      <c r="C197" s="428" t="s">
        <v>395</v>
      </c>
      <c r="D197" s="153">
        <f>D108-D107-D103-D87</f>
        <v>0</v>
      </c>
    </row>
    <row r="198" spans="3:4" ht="16" thickBot="1" x14ac:dyDescent="0.25"/>
    <row r="199" spans="3:4" ht="17" thickBot="1" x14ac:dyDescent="0.25">
      <c r="C199" s="429" t="s">
        <v>397</v>
      </c>
      <c r="D199" s="153">
        <f>(D108-D107-D103-D87+G108)*3.5/(10^6)*25000</f>
        <v>0</v>
      </c>
    </row>
    <row r="200" spans="3:4" ht="16" thickBot="1" x14ac:dyDescent="0.25"/>
    <row r="201" spans="3:4" ht="17" thickBot="1" x14ac:dyDescent="0.25">
      <c r="C201" s="429" t="s">
        <v>396</v>
      </c>
      <c r="D201" s="153">
        <f>(D87+IF($G$60&gt;0,0.1*($H$60+$G$60*'Prezzi servizi "smart"'!$I$12),0)+IF('Project Financing'!$G$61&gt;0,0.1*('Project Financing'!$D$101+'Project Financing'!$G$61*'Prezzi servizi "smart"'!$I$17),0)-(G87-G86)+D103)*5.7/(10^6)*25000</f>
        <v>0</v>
      </c>
    </row>
  </sheetData>
  <dataConsolidate/>
  <mergeCells count="32">
    <mergeCell ref="A43:B66"/>
    <mergeCell ref="J27:J28"/>
    <mergeCell ref="K27:K29"/>
    <mergeCell ref="I31:K33"/>
    <mergeCell ref="C43:C56"/>
    <mergeCell ref="H27:H30"/>
    <mergeCell ref="C65:C66"/>
    <mergeCell ref="I43:I44"/>
    <mergeCell ref="J43:J45"/>
    <mergeCell ref="K43:K46"/>
    <mergeCell ref="C178:D178"/>
    <mergeCell ref="F103:G103"/>
    <mergeCell ref="D44:D47"/>
    <mergeCell ref="D48:D50"/>
    <mergeCell ref="D51:D53"/>
    <mergeCell ref="D55:D56"/>
    <mergeCell ref="D65:D66"/>
    <mergeCell ref="C60:C61"/>
    <mergeCell ref="C112:D112"/>
    <mergeCell ref="F97:G97"/>
    <mergeCell ref="F90:G90"/>
    <mergeCell ref="F85:G85"/>
    <mergeCell ref="F83:G83"/>
    <mergeCell ref="F44:F47"/>
    <mergeCell ref="F51:F53"/>
    <mergeCell ref="A5:A21"/>
    <mergeCell ref="C7:C8"/>
    <mergeCell ref="C9:C12"/>
    <mergeCell ref="A25:B33"/>
    <mergeCell ref="E27:E30"/>
    <mergeCell ref="C32:C33"/>
    <mergeCell ref="C27:C31"/>
  </mergeCells>
  <dataValidations count="3">
    <dataValidation type="list" allowBlank="1" showInputMessage="1" showErrorMessage="1" sqref="R79">
      <formula1>Nome</formula1>
    </dataValidation>
    <dataValidation type="list" allowBlank="1" showInputMessage="1" showErrorMessage="1" sqref="G106 E25 F37 E178 G43">
      <formula1>manut</formula1>
    </dataValidation>
    <dataValidation type="list" allowBlank="1" showInputMessage="1" showErrorMessage="1" sqref="I28:I30 J29:J30 K30 I45:I47 J46:J47 K47">
      <formula1>pacchetti</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03"/>
  <sheetViews>
    <sheetView topLeftCell="G90" zoomScale="80" zoomScaleNormal="80" zoomScalePageLayoutView="80" workbookViewId="0">
      <selection activeCell="G96" sqref="G96"/>
    </sheetView>
  </sheetViews>
  <sheetFormatPr baseColWidth="10" defaultColWidth="8.83203125" defaultRowHeight="15" x14ac:dyDescent="0.2"/>
  <cols>
    <col min="2" max="2" width="16.83203125" bestFit="1" customWidth="1"/>
    <col min="3" max="3" width="74.1640625" bestFit="1" customWidth="1"/>
    <col min="4" max="4" width="62" bestFit="1" customWidth="1"/>
    <col min="5" max="5" width="85" customWidth="1"/>
    <col min="6" max="6" width="84.1640625" bestFit="1" customWidth="1"/>
    <col min="7" max="7" width="42.1640625" bestFit="1" customWidth="1"/>
    <col min="8" max="8" width="30.5" customWidth="1"/>
    <col min="9" max="9" width="40.33203125" customWidth="1"/>
    <col min="10" max="10" width="41.1640625" customWidth="1"/>
    <col min="11" max="11" width="34.5" customWidth="1"/>
    <col min="12" max="12" width="27.5" bestFit="1" customWidth="1"/>
    <col min="13" max="13" width="17.1640625" bestFit="1" customWidth="1"/>
    <col min="14" max="14" width="15" bestFit="1" customWidth="1"/>
    <col min="15" max="16" width="19.33203125" bestFit="1" customWidth="1"/>
    <col min="17" max="24" width="13.83203125" bestFit="1" customWidth="1"/>
  </cols>
  <sheetData>
    <row r="1" spans="1:16" ht="16" x14ac:dyDescent="0.2">
      <c r="B1" s="225" t="s">
        <v>248</v>
      </c>
      <c r="D1" s="424" t="s">
        <v>387</v>
      </c>
    </row>
    <row r="2" spans="1:16" x14ac:dyDescent="0.2">
      <c r="D2" s="425" t="s">
        <v>388</v>
      </c>
    </row>
    <row r="3" spans="1:16" x14ac:dyDescent="0.2">
      <c r="D3" s="77"/>
    </row>
    <row r="4" spans="1:16" ht="16" thickBot="1" x14ac:dyDescent="0.25">
      <c r="D4" s="77"/>
      <c r="H4" s="77"/>
      <c r="L4" s="166"/>
      <c r="O4" s="129"/>
      <c r="P4" s="130"/>
    </row>
    <row r="5" spans="1:16" x14ac:dyDescent="0.2">
      <c r="A5" s="491" t="s">
        <v>254</v>
      </c>
      <c r="B5" s="206" t="s">
        <v>28</v>
      </c>
      <c r="C5" s="206" t="s">
        <v>116</v>
      </c>
      <c r="D5" s="205" t="s">
        <v>250</v>
      </c>
      <c r="E5" s="206" t="s">
        <v>251</v>
      </c>
      <c r="F5" s="185" t="s">
        <v>252</v>
      </c>
      <c r="G5" s="206" t="s">
        <v>182</v>
      </c>
      <c r="H5" s="206" t="s">
        <v>253</v>
      </c>
      <c r="I5" s="206" t="s">
        <v>144</v>
      </c>
      <c r="J5" s="206" t="s">
        <v>145</v>
      </c>
      <c r="K5" s="206" t="s">
        <v>146</v>
      </c>
      <c r="L5" s="207" t="s">
        <v>147</v>
      </c>
      <c r="O5" s="131"/>
      <c r="P5" s="75"/>
    </row>
    <row r="6" spans="1:16" ht="14.5" customHeight="1" x14ac:dyDescent="0.2">
      <c r="A6" s="492"/>
      <c r="B6" s="274" t="s">
        <v>29</v>
      </c>
      <c r="C6" s="84" t="s">
        <v>97</v>
      </c>
      <c r="D6" s="217"/>
      <c r="E6" s="84">
        <f>'Dettaglio strade (ENEA)'!C6</f>
        <v>6</v>
      </c>
      <c r="F6" s="84"/>
      <c r="G6" s="84">
        <v>0.9</v>
      </c>
      <c r="H6" s="136"/>
      <c r="I6" s="84">
        <v>80</v>
      </c>
      <c r="J6" s="221"/>
      <c r="K6" s="219">
        <f>ROUNDDOWN(D6/'Dettaglio strade (ENEA)'!D6,0)</f>
        <v>0</v>
      </c>
      <c r="L6" s="84">
        <f>ROUNDUP(IF(ISNUMBER(J6),K6/J6,K6/I6),0)</f>
        <v>0</v>
      </c>
      <c r="O6" s="127"/>
      <c r="P6" s="75"/>
    </row>
    <row r="7" spans="1:16" x14ac:dyDescent="0.2">
      <c r="A7" s="492"/>
      <c r="B7" s="274" t="s">
        <v>103</v>
      </c>
      <c r="C7" s="448" t="s">
        <v>94</v>
      </c>
      <c r="D7" s="217"/>
      <c r="E7" s="84">
        <f>'Dettaglio strade (ENEA)'!C19</f>
        <v>7</v>
      </c>
      <c r="F7" s="84"/>
      <c r="G7" s="84">
        <v>1.1000000000000001</v>
      </c>
      <c r="H7" s="136"/>
      <c r="I7" s="84">
        <v>80</v>
      </c>
      <c r="J7" s="221"/>
      <c r="K7" s="219">
        <f>ROUNDDOWN(D7/'Dettaglio strade (ENEA)'!D19,0)</f>
        <v>0</v>
      </c>
      <c r="L7" s="84">
        <f>ROUNDUP(IF(ISNUMBER(J7),K7/J7,K7/I7),0)</f>
        <v>0</v>
      </c>
    </row>
    <row r="8" spans="1:16" x14ac:dyDescent="0.2">
      <c r="A8" s="492"/>
      <c r="B8" s="274" t="s">
        <v>104</v>
      </c>
      <c r="C8" s="448"/>
      <c r="D8" s="217"/>
      <c r="E8" s="84">
        <f>'Dettaglio strade (ENEA)'!C32+2*1.5</f>
        <v>10</v>
      </c>
      <c r="F8" s="84"/>
      <c r="G8" s="84">
        <v>1.1000000000000001</v>
      </c>
      <c r="H8" s="136"/>
      <c r="I8" s="84">
        <v>80</v>
      </c>
      <c r="J8" s="221"/>
      <c r="K8" s="219">
        <f>ROUNDDOWN(D8/'Dettaglio strade (ENEA)'!D32,0)</f>
        <v>0</v>
      </c>
      <c r="L8" s="84">
        <f t="shared" ref="L8:L15" si="0">ROUNDUP(IF(ISNUMBER(J8),K8/J8,K8/I8),0)</f>
        <v>0</v>
      </c>
    </row>
    <row r="9" spans="1:16" x14ac:dyDescent="0.2">
      <c r="A9" s="492"/>
      <c r="B9" s="274" t="s">
        <v>105</v>
      </c>
      <c r="C9" s="449" t="s">
        <v>82</v>
      </c>
      <c r="D9" s="217"/>
      <c r="E9" s="218">
        <f>'Dettaglio strade (ENEA)'!C46+2*1.5</f>
        <v>9</v>
      </c>
      <c r="F9" s="84"/>
      <c r="G9" s="218">
        <v>1.6</v>
      </c>
      <c r="H9" s="136"/>
      <c r="I9" s="84">
        <v>80</v>
      </c>
      <c r="J9" s="221"/>
      <c r="K9" s="219">
        <f>ROUNDDOWN(D9/'Dettaglio strade (ENEA)'!D46,0)</f>
        <v>0</v>
      </c>
      <c r="L9" s="84">
        <f t="shared" si="0"/>
        <v>0</v>
      </c>
    </row>
    <row r="10" spans="1:16" x14ac:dyDescent="0.2">
      <c r="A10" s="492"/>
      <c r="B10" s="274" t="s">
        <v>106</v>
      </c>
      <c r="C10" s="449"/>
      <c r="D10" s="217"/>
      <c r="E10" s="218">
        <f>'Dettaglio strade (ENEA)'!C60</f>
        <v>8</v>
      </c>
      <c r="F10" s="84"/>
      <c r="G10" s="218">
        <v>1.6</v>
      </c>
      <c r="H10" s="136"/>
      <c r="I10" s="84">
        <v>80</v>
      </c>
      <c r="J10" s="221"/>
      <c r="K10" s="219">
        <f>ROUNDDOWN(D10/'Dettaglio strade (ENEA)'!D60,0)</f>
        <v>0</v>
      </c>
      <c r="L10" s="84">
        <f t="shared" si="0"/>
        <v>0</v>
      </c>
    </row>
    <row r="11" spans="1:16" x14ac:dyDescent="0.2">
      <c r="A11" s="492"/>
      <c r="B11" s="274" t="s">
        <v>107</v>
      </c>
      <c r="C11" s="449"/>
      <c r="D11" s="217"/>
      <c r="E11" s="218">
        <f>'Dettaglio strade (ENEA)'!C73+'Dettaglio strade (ENEA)'!G73</f>
        <v>10</v>
      </c>
      <c r="F11" s="84"/>
      <c r="G11" s="218">
        <v>1.5</v>
      </c>
      <c r="H11" s="136"/>
      <c r="I11" s="84">
        <v>80</v>
      </c>
      <c r="J11" s="221"/>
      <c r="K11" s="219">
        <f>ROUNDDOWN(D11/'Dettaglio strade (ENEA)'!D73,0)</f>
        <v>0</v>
      </c>
      <c r="L11" s="84">
        <f t="shared" si="0"/>
        <v>0</v>
      </c>
    </row>
    <row r="12" spans="1:16" x14ac:dyDescent="0.2">
      <c r="A12" s="492"/>
      <c r="B12" s="274" t="s">
        <v>108</v>
      </c>
      <c r="C12" s="449"/>
      <c r="D12" s="217"/>
      <c r="E12" s="218">
        <f>'Dettaglio strade (ENEA)'!C87+2*1.5</f>
        <v>13</v>
      </c>
      <c r="F12" s="84"/>
      <c r="G12" s="218">
        <v>1.6</v>
      </c>
      <c r="H12" s="136"/>
      <c r="I12" s="84">
        <v>80</v>
      </c>
      <c r="J12" s="221"/>
      <c r="K12" s="219">
        <f>ROUNDDOWN(D12/'Dettaglio strade (ENEA)'!D87,0)</f>
        <v>0</v>
      </c>
      <c r="L12" s="84">
        <f t="shared" si="0"/>
        <v>0</v>
      </c>
    </row>
    <row r="13" spans="1:16" x14ac:dyDescent="0.2">
      <c r="A13" s="492"/>
      <c r="B13" s="274" t="s">
        <v>36</v>
      </c>
      <c r="C13" s="84" t="s">
        <v>44</v>
      </c>
      <c r="D13" s="217"/>
      <c r="E13" s="220">
        <f>('Dettaglio strade (ENEA)'!C99+2.5)*2</f>
        <v>19</v>
      </c>
      <c r="F13" s="84"/>
      <c r="G13" s="218">
        <v>2.4500000000000002</v>
      </c>
      <c r="H13" s="136"/>
      <c r="I13" s="84">
        <v>80</v>
      </c>
      <c r="J13" s="221"/>
      <c r="K13" s="219">
        <f>ROUNDDOWN(D13/'Dettaglio strade (ENEA)'!D99*2,0)</f>
        <v>0</v>
      </c>
      <c r="L13" s="84">
        <f t="shared" si="0"/>
        <v>0</v>
      </c>
    </row>
    <row r="14" spans="1:16" x14ac:dyDescent="0.2">
      <c r="A14" s="492"/>
      <c r="B14" s="274" t="s">
        <v>109</v>
      </c>
      <c r="C14" s="84" t="s">
        <v>74</v>
      </c>
      <c r="D14" s="217"/>
      <c r="E14" s="220">
        <f>'Dettaglio strade (ENEA)'!C114</f>
        <v>12</v>
      </c>
      <c r="F14" s="84"/>
      <c r="G14" s="218">
        <v>3.4</v>
      </c>
      <c r="H14" s="136"/>
      <c r="I14" s="84">
        <v>80</v>
      </c>
      <c r="J14" s="221"/>
      <c r="K14" s="219">
        <f>ROUNDDOWN(D14/'Dettaglio strade (ENEA)'!D114*2,0)</f>
        <v>0</v>
      </c>
      <c r="L14" s="84">
        <f t="shared" si="0"/>
        <v>0</v>
      </c>
    </row>
    <row r="15" spans="1:16" x14ac:dyDescent="0.2">
      <c r="A15" s="492"/>
      <c r="B15" s="274" t="s">
        <v>38</v>
      </c>
      <c r="C15" s="84" t="s">
        <v>44</v>
      </c>
      <c r="D15" s="217"/>
      <c r="E15" s="84">
        <f>'Dettaglio strade (ENEA)'!C129</f>
        <v>4</v>
      </c>
      <c r="F15" s="84"/>
      <c r="G15" s="84">
        <v>2.4300000000000002</v>
      </c>
      <c r="H15" s="136"/>
      <c r="I15" s="84">
        <v>80</v>
      </c>
      <c r="J15" s="221"/>
      <c r="K15" s="219">
        <f>ROUNDDOWN(D15/'Dettaglio strade (ENEA)'!D129,0)</f>
        <v>0</v>
      </c>
      <c r="L15" s="84">
        <f t="shared" si="0"/>
        <v>0</v>
      </c>
    </row>
    <row r="16" spans="1:16" x14ac:dyDescent="0.2">
      <c r="A16" s="492"/>
      <c r="B16" s="275"/>
      <c r="C16" s="84" t="s">
        <v>74</v>
      </c>
      <c r="D16" s="221"/>
      <c r="E16" s="222"/>
      <c r="F16" s="221"/>
      <c r="G16" s="218">
        <v>3.4</v>
      </c>
      <c r="H16" s="221"/>
      <c r="I16" s="84">
        <v>80</v>
      </c>
      <c r="J16" s="221"/>
      <c r="K16" s="218">
        <f>IFERROR(ROUNDDOWN(D16/F16,0),0)</f>
        <v>0</v>
      </c>
      <c r="L16" s="84">
        <f>ROUNDUP(IF(ISNUMBER(J16),K16/J16,K16/I16),0)</f>
        <v>0</v>
      </c>
    </row>
    <row r="17" spans="1:12" x14ac:dyDescent="0.2">
      <c r="A17" s="492"/>
      <c r="B17" s="275"/>
      <c r="C17" s="84" t="s">
        <v>44</v>
      </c>
      <c r="D17" s="221"/>
      <c r="E17" s="222"/>
      <c r="F17" s="221"/>
      <c r="G17" s="218">
        <v>2.4500000000000002</v>
      </c>
      <c r="H17" s="221"/>
      <c r="I17" s="84">
        <v>80</v>
      </c>
      <c r="J17" s="221"/>
      <c r="K17" s="218">
        <f>IFERROR(ROUNDDOWN(D17/F17,0),0)</f>
        <v>0</v>
      </c>
      <c r="L17" s="84">
        <f>ROUNDUP(IF(ISNUMBER(J17),K17/J17,K17/I17),0)</f>
        <v>0</v>
      </c>
    </row>
    <row r="18" spans="1:12" x14ac:dyDescent="0.2">
      <c r="A18" s="492"/>
      <c r="B18" s="275"/>
      <c r="C18" s="84" t="s">
        <v>82</v>
      </c>
      <c r="D18" s="221"/>
      <c r="E18" s="222"/>
      <c r="F18" s="221"/>
      <c r="G18" s="218">
        <v>1.6</v>
      </c>
      <c r="H18" s="221"/>
      <c r="I18" s="84">
        <v>80</v>
      </c>
      <c r="J18" s="221"/>
      <c r="K18" s="218">
        <f>IFERROR(ROUNDDOWN(D18/F18,0),0)</f>
        <v>0</v>
      </c>
      <c r="L18" s="84">
        <f t="shared" ref="L18:L20" si="1">ROUNDUP(IF(ISNUMBER(J18),K18/J18,K18/I18),0)</f>
        <v>0</v>
      </c>
    </row>
    <row r="19" spans="1:12" x14ac:dyDescent="0.2">
      <c r="A19" s="492"/>
      <c r="B19" s="275"/>
      <c r="C19" s="84" t="s">
        <v>94</v>
      </c>
      <c r="D19" s="221"/>
      <c r="E19" s="222"/>
      <c r="F19" s="221"/>
      <c r="G19" s="218">
        <v>1.1000000000000001</v>
      </c>
      <c r="H19" s="221"/>
      <c r="I19" s="84">
        <v>80</v>
      </c>
      <c r="J19" s="221"/>
      <c r="K19" s="218">
        <f>IFERROR(ROUNDDOWN(D19/F19,0),0)</f>
        <v>0</v>
      </c>
      <c r="L19" s="84">
        <f t="shared" si="1"/>
        <v>0</v>
      </c>
    </row>
    <row r="20" spans="1:12" x14ac:dyDescent="0.2">
      <c r="A20" s="492"/>
      <c r="B20" s="275"/>
      <c r="C20" s="84" t="s">
        <v>97</v>
      </c>
      <c r="D20" s="221"/>
      <c r="E20" s="222"/>
      <c r="F20" s="221"/>
      <c r="G20" s="218">
        <v>0.9</v>
      </c>
      <c r="H20" s="221"/>
      <c r="I20" s="84">
        <v>80</v>
      </c>
      <c r="J20" s="221"/>
      <c r="K20" s="218">
        <f>IFERROR(ROUNDDOWN(D20/F20,0),0)</f>
        <v>0</v>
      </c>
      <c r="L20" s="84">
        <f t="shared" si="1"/>
        <v>0</v>
      </c>
    </row>
    <row r="21" spans="1:12" ht="16" thickBot="1" x14ac:dyDescent="0.25">
      <c r="A21" s="493"/>
      <c r="B21" s="213"/>
      <c r="C21" s="213"/>
      <c r="D21" s="208">
        <f>SUM(D6:D20)</f>
        <v>0</v>
      </c>
      <c r="E21" s="209"/>
      <c r="F21" s="210"/>
      <c r="G21" s="210"/>
      <c r="H21" s="224">
        <f>SUM(H6:H20)</f>
        <v>0</v>
      </c>
      <c r="I21" s="213"/>
      <c r="J21" s="214"/>
      <c r="K21" s="215">
        <f>SUM(K6:K20)</f>
        <v>0</v>
      </c>
      <c r="L21" s="216">
        <f>SUM(L6:L20)</f>
        <v>0</v>
      </c>
    </row>
    <row r="23" spans="1:12" ht="16" thickBot="1" x14ac:dyDescent="0.25"/>
    <row r="24" spans="1:12" ht="16" thickBot="1" x14ac:dyDescent="0.25">
      <c r="C24" s="75"/>
      <c r="D24" s="77" t="s">
        <v>260</v>
      </c>
      <c r="E24" s="18"/>
      <c r="F24" s="265" t="s">
        <v>264</v>
      </c>
    </row>
    <row r="25" spans="1:12" ht="15" customHeight="1" thickBot="1" x14ac:dyDescent="0.25">
      <c r="A25" s="453" t="s">
        <v>308</v>
      </c>
      <c r="B25" s="454"/>
      <c r="C25" s="288" t="s">
        <v>263</v>
      </c>
      <c r="D25" s="261" t="s">
        <v>262</v>
      </c>
      <c r="E25" s="263" t="s">
        <v>118</v>
      </c>
      <c r="F25" s="264" t="str">
        <f>IF(AND(OR(F27&gt;0,F28&gt;0,F29&gt;0,F30&gt;0,F32&gt;0),E25="si"),"ATTENZIONE!! Non è possibile avere un impianto REG","ok")</f>
        <v>ok</v>
      </c>
      <c r="G25" t="s">
        <v>110</v>
      </c>
    </row>
    <row r="26" spans="1:12" ht="16" thickBot="1" x14ac:dyDescent="0.25">
      <c r="A26" s="455"/>
      <c r="B26" s="456"/>
      <c r="D26" s="149" t="s">
        <v>102</v>
      </c>
      <c r="E26" s="185" t="s">
        <v>149</v>
      </c>
      <c r="F26" s="185" t="s">
        <v>148</v>
      </c>
      <c r="G26" s="186" t="s">
        <v>179</v>
      </c>
      <c r="H26" s="271" t="s">
        <v>264</v>
      </c>
      <c r="I26" s="26" t="s">
        <v>359</v>
      </c>
      <c r="J26" s="26" t="s">
        <v>360</v>
      </c>
      <c r="K26" s="26" t="s">
        <v>361</v>
      </c>
    </row>
    <row r="27" spans="1:12" ht="14.5" customHeight="1" x14ac:dyDescent="0.2">
      <c r="A27" s="455"/>
      <c r="B27" s="456"/>
      <c r="C27" s="484" t="s">
        <v>256</v>
      </c>
      <c r="D27" s="188" t="s">
        <v>209</v>
      </c>
      <c r="E27" s="481" t="s">
        <v>178</v>
      </c>
      <c r="F27" s="135"/>
      <c r="G27" s="226">
        <f>F27*'Prezzi smart adaptive lighting'!$C$4</f>
        <v>0</v>
      </c>
      <c r="H27" s="505" t="str">
        <f>IF(OR($E$25="si",$F$32&gt;0),"non si può avere un impianto TAI","è possibile avere un impianto TAI")</f>
        <v>non si può avere un impianto TAI</v>
      </c>
      <c r="I27" s="384" t="s">
        <v>362</v>
      </c>
      <c r="J27" s="436" t="s">
        <v>362</v>
      </c>
      <c r="K27" s="438" t="s">
        <v>362</v>
      </c>
    </row>
    <row r="28" spans="1:12" x14ac:dyDescent="0.2">
      <c r="A28" s="455"/>
      <c r="B28" s="456"/>
      <c r="C28" s="485"/>
      <c r="D28" s="189" t="s">
        <v>243</v>
      </c>
      <c r="E28" s="482"/>
      <c r="F28" s="136"/>
      <c r="G28" s="227">
        <f>F28*'Prezzi smart adaptive lighting'!$C$5</f>
        <v>0</v>
      </c>
      <c r="H28" s="505"/>
      <c r="I28" s="401" t="s">
        <v>317</v>
      </c>
      <c r="J28" s="441"/>
      <c r="K28" s="442"/>
    </row>
    <row r="29" spans="1:12" x14ac:dyDescent="0.2">
      <c r="A29" s="455"/>
      <c r="B29" s="456"/>
      <c r="C29" s="485"/>
      <c r="D29" s="189" t="s">
        <v>244</v>
      </c>
      <c r="E29" s="482"/>
      <c r="F29" s="136"/>
      <c r="G29" s="227">
        <f>F29*'Prezzi smart adaptive lighting'!$C$5</f>
        <v>0</v>
      </c>
      <c r="H29" s="505"/>
      <c r="I29" s="401" t="s">
        <v>317</v>
      </c>
      <c r="J29" s="401" t="s">
        <v>321</v>
      </c>
      <c r="K29" s="442"/>
    </row>
    <row r="30" spans="1:12" ht="16" thickBot="1" x14ac:dyDescent="0.25">
      <c r="A30" s="455"/>
      <c r="B30" s="456"/>
      <c r="C30" s="485"/>
      <c r="D30" s="189" t="s">
        <v>245</v>
      </c>
      <c r="E30" s="483"/>
      <c r="F30" s="136"/>
      <c r="G30" s="227">
        <f>F30*'Prezzi smart adaptive lighting'!$C$5</f>
        <v>0</v>
      </c>
      <c r="H30" s="505"/>
      <c r="I30" s="401"/>
      <c r="J30" s="401"/>
      <c r="K30" s="401"/>
    </row>
    <row r="31" spans="1:12" ht="16" thickBot="1" x14ac:dyDescent="0.25">
      <c r="A31" s="455"/>
      <c r="B31" s="456"/>
      <c r="C31" s="486"/>
      <c r="D31" s="167" t="s">
        <v>349</v>
      </c>
      <c r="E31" s="371" t="str">
        <f>IF(SUM(F27:F30)&gt;=H21,"ok","ATTENZIONE: #sensori &lt; #incocri, procedere comunque?")</f>
        <v>ok</v>
      </c>
      <c r="F31" s="372">
        <f>SUM(F27:F30)</f>
        <v>0</v>
      </c>
      <c r="G31" s="123">
        <f>SUM(G27:G30)</f>
        <v>0</v>
      </c>
      <c r="H31" s="389"/>
      <c r="I31" s="440" t="s">
        <v>362</v>
      </c>
      <c r="J31" s="440"/>
      <c r="K31" s="440"/>
    </row>
    <row r="32" spans="1:12" ht="16" thickBot="1" x14ac:dyDescent="0.25">
      <c r="A32" s="455"/>
      <c r="B32" s="456"/>
      <c r="C32" s="506" t="s">
        <v>255</v>
      </c>
      <c r="D32" s="257" t="s">
        <v>215</v>
      </c>
      <c r="E32" s="369" t="s">
        <v>178</v>
      </c>
      <c r="F32" s="136"/>
      <c r="G32" s="228">
        <f>F32*'Prezzi smart adaptive lighting'!B8</f>
        <v>0</v>
      </c>
      <c r="H32" s="269" t="str">
        <f>IF(OR($E$25="si",F27&gt;0,F28&gt;0,F29&gt;0,F30&gt;0),"non si può avere un impianto FAI","è possibile avere un impianto FAI")</f>
        <v>non si può avere un impianto FAI</v>
      </c>
      <c r="I32" s="440"/>
      <c r="J32" s="440"/>
      <c r="K32" s="440"/>
    </row>
    <row r="33" spans="1:12" ht="16" thickBot="1" x14ac:dyDescent="0.25">
      <c r="A33" s="457"/>
      <c r="B33" s="458"/>
      <c r="C33" s="507"/>
      <c r="D33" s="167" t="s">
        <v>351</v>
      </c>
      <c r="E33" s="371" t="str">
        <f>IF(F33&gt;=H21,"ok","ATTENZIONE! #sensori &lt; #incroci, procedere comunque?")</f>
        <v>ok</v>
      </c>
      <c r="F33" s="168">
        <f>F32</f>
        <v>0</v>
      </c>
      <c r="G33" s="200">
        <f>G32</f>
        <v>0</v>
      </c>
      <c r="H33" s="389"/>
      <c r="I33" s="440"/>
      <c r="J33" s="440"/>
      <c r="K33" s="440"/>
    </row>
    <row r="35" spans="1:12" ht="16" thickBot="1" x14ac:dyDescent="0.25"/>
    <row r="36" spans="1:12" ht="17" thickBot="1" x14ac:dyDescent="0.25">
      <c r="E36" s="270" t="s">
        <v>265</v>
      </c>
      <c r="F36" s="18"/>
    </row>
    <row r="37" spans="1:12" ht="16" thickBot="1" x14ac:dyDescent="0.25">
      <c r="E37" s="272" t="s">
        <v>266</v>
      </c>
      <c r="F37" s="262" t="s">
        <v>119</v>
      </c>
    </row>
    <row r="38" spans="1:12" ht="16" thickBot="1" x14ac:dyDescent="0.25">
      <c r="E38" s="12" t="s">
        <v>276</v>
      </c>
      <c r="F38" s="12"/>
    </row>
    <row r="39" spans="1:12" ht="16" thickBot="1" x14ac:dyDescent="0.25">
      <c r="E39" s="293" t="str">
        <f>IF(F37="si","Qual è il costo TOTALE del software di telegestione presente?","NON COMPILARE QUESTO CAMPO")</f>
        <v>NON COMPILARE QUESTO CAMPO</v>
      </c>
      <c r="F39" s="294"/>
    </row>
    <row r="41" spans="1:12" ht="16" thickBot="1" x14ac:dyDescent="0.25">
      <c r="E41" s="77" t="s">
        <v>261</v>
      </c>
      <c r="H41" t="s">
        <v>110</v>
      </c>
    </row>
    <row r="42" spans="1:12" ht="16" thickBot="1" x14ac:dyDescent="0.25">
      <c r="E42" s="149" t="s">
        <v>102</v>
      </c>
      <c r="F42" s="185" t="s">
        <v>149</v>
      </c>
      <c r="G42" s="185" t="s">
        <v>148</v>
      </c>
      <c r="H42" s="186" t="s">
        <v>179</v>
      </c>
      <c r="I42" s="26" t="s">
        <v>359</v>
      </c>
      <c r="J42" s="26" t="s">
        <v>360</v>
      </c>
      <c r="K42" s="26" t="s">
        <v>361</v>
      </c>
    </row>
    <row r="43" spans="1:12" ht="15" customHeight="1" thickBot="1" x14ac:dyDescent="0.25">
      <c r="A43" s="499" t="s">
        <v>350</v>
      </c>
      <c r="B43" s="500"/>
      <c r="C43" s="484" t="s">
        <v>257</v>
      </c>
      <c r="D43" s="391" t="s">
        <v>228</v>
      </c>
      <c r="E43" s="392" t="s">
        <v>364</v>
      </c>
      <c r="F43" s="84" t="s">
        <v>363</v>
      </c>
      <c r="G43" s="136" t="s">
        <v>119</v>
      </c>
      <c r="H43" s="394"/>
      <c r="I43" s="438" t="s">
        <v>362</v>
      </c>
      <c r="J43" s="436" t="s">
        <v>362</v>
      </c>
      <c r="K43" s="438" t="s">
        <v>362</v>
      </c>
    </row>
    <row r="44" spans="1:12" ht="14.5" customHeight="1" x14ac:dyDescent="0.2">
      <c r="A44" s="501"/>
      <c r="B44" s="502"/>
      <c r="C44" s="485"/>
      <c r="D44" s="450" t="s">
        <v>336</v>
      </c>
      <c r="E44" s="379" t="s">
        <v>209</v>
      </c>
      <c r="F44" s="482" t="s">
        <v>178</v>
      </c>
      <c r="G44" s="380"/>
      <c r="H44" s="381">
        <f>G44*'Prezzi smart adaptive lighting'!$C$4</f>
        <v>0</v>
      </c>
      <c r="I44" s="442"/>
      <c r="J44" s="437"/>
      <c r="K44" s="439"/>
      <c r="L44" s="256" t="s">
        <v>259</v>
      </c>
    </row>
    <row r="45" spans="1:12" ht="14.5" customHeight="1" x14ac:dyDescent="0.2">
      <c r="A45" s="501"/>
      <c r="B45" s="502"/>
      <c r="C45" s="485"/>
      <c r="D45" s="451"/>
      <c r="E45" s="189" t="s">
        <v>243</v>
      </c>
      <c r="F45" s="482"/>
      <c r="G45" s="136"/>
      <c r="H45" s="227">
        <f>G45*'Prezzi smart adaptive lighting'!$C$5</f>
        <v>0</v>
      </c>
      <c r="I45" s="401" t="s">
        <v>317</v>
      </c>
      <c r="J45" s="437"/>
      <c r="K45" s="439"/>
      <c r="L45" s="256" t="s">
        <v>259</v>
      </c>
    </row>
    <row r="46" spans="1:12" ht="14.5" customHeight="1" x14ac:dyDescent="0.2">
      <c r="A46" s="501"/>
      <c r="B46" s="502"/>
      <c r="C46" s="485"/>
      <c r="D46" s="451"/>
      <c r="E46" s="189" t="s">
        <v>244</v>
      </c>
      <c r="F46" s="482"/>
      <c r="G46" s="136"/>
      <c r="H46" s="227">
        <f>G46*'Prezzi smart adaptive lighting'!$C$5</f>
        <v>0</v>
      </c>
      <c r="I46" s="401" t="s">
        <v>317</v>
      </c>
      <c r="J46" s="401" t="s">
        <v>321</v>
      </c>
      <c r="K46" s="439"/>
      <c r="L46" s="256" t="s">
        <v>259</v>
      </c>
    </row>
    <row r="47" spans="1:12" ht="15" customHeight="1" thickBot="1" x14ac:dyDescent="0.25">
      <c r="A47" s="501"/>
      <c r="B47" s="502"/>
      <c r="C47" s="485"/>
      <c r="D47" s="452"/>
      <c r="E47" s="189" t="s">
        <v>245</v>
      </c>
      <c r="F47" s="487"/>
      <c r="G47" s="136"/>
      <c r="H47" s="227">
        <f>G47*'Prezzi smart adaptive lighting'!$C$5</f>
        <v>0</v>
      </c>
      <c r="I47" s="401"/>
      <c r="J47" s="401"/>
      <c r="K47" s="401"/>
      <c r="L47" s="256" t="s">
        <v>259</v>
      </c>
    </row>
    <row r="48" spans="1:12" ht="14.5" customHeight="1" x14ac:dyDescent="0.2">
      <c r="A48" s="501"/>
      <c r="B48" s="502"/>
      <c r="C48" s="485"/>
      <c r="D48" s="450" t="s">
        <v>338</v>
      </c>
      <c r="E48" s="189" t="s">
        <v>195</v>
      </c>
      <c r="F48" s="187" t="s">
        <v>234</v>
      </c>
      <c r="G48" s="136"/>
      <c r="H48" s="228">
        <f>G48*'Prezzi servizi "smart"'!$C$17</f>
        <v>0</v>
      </c>
      <c r="I48" s="395"/>
      <c r="J48" s="395"/>
      <c r="K48" s="395"/>
    </row>
    <row r="49" spans="1:11" ht="30" x14ac:dyDescent="0.2">
      <c r="A49" s="501"/>
      <c r="B49" s="502"/>
      <c r="C49" s="485"/>
      <c r="D49" s="451"/>
      <c r="E49" s="196" t="s">
        <v>246</v>
      </c>
      <c r="F49" s="197" t="s">
        <v>235</v>
      </c>
      <c r="G49" s="136"/>
      <c r="H49" s="229">
        <f>G49*'Prezzi servizi "smart"'!$C$18</f>
        <v>0</v>
      </c>
      <c r="I49" s="395"/>
      <c r="J49" s="395"/>
      <c r="K49" s="395"/>
    </row>
    <row r="50" spans="1:11" ht="15" customHeight="1" thickBot="1" x14ac:dyDescent="0.25">
      <c r="A50" s="501"/>
      <c r="B50" s="502"/>
      <c r="C50" s="485"/>
      <c r="D50" s="452"/>
      <c r="E50" s="191" t="s">
        <v>192</v>
      </c>
      <c r="F50" s="187" t="s">
        <v>236</v>
      </c>
      <c r="G50" s="136"/>
      <c r="H50" s="228">
        <f>G50*'Prezzi servizi "smart"'!$C$19</f>
        <v>0</v>
      </c>
      <c r="I50" s="395"/>
      <c r="J50" s="395"/>
      <c r="K50" s="395"/>
    </row>
    <row r="51" spans="1:11" ht="14.5" customHeight="1" x14ac:dyDescent="0.2">
      <c r="A51" s="501"/>
      <c r="B51" s="502"/>
      <c r="C51" s="485"/>
      <c r="D51" s="450" t="s">
        <v>339</v>
      </c>
      <c r="E51" s="189" t="s">
        <v>205</v>
      </c>
      <c r="F51" s="488" t="s">
        <v>237</v>
      </c>
      <c r="G51" s="136"/>
      <c r="H51" s="228">
        <f>G51*'Prezzi servizi "smart"'!$C$25</f>
        <v>0</v>
      </c>
      <c r="I51" s="400"/>
      <c r="J51" s="383"/>
      <c r="K51" s="383"/>
    </row>
    <row r="52" spans="1:11" ht="14.5" customHeight="1" x14ac:dyDescent="0.2">
      <c r="A52" s="501"/>
      <c r="B52" s="502"/>
      <c r="C52" s="485"/>
      <c r="D52" s="451"/>
      <c r="E52" s="189" t="s">
        <v>186</v>
      </c>
      <c r="F52" s="489"/>
      <c r="G52" s="136"/>
      <c r="H52" s="228">
        <f>'Prezzi servizi "smart"'!$C$26*G52</f>
        <v>0</v>
      </c>
      <c r="I52" s="400"/>
      <c r="J52" s="383"/>
      <c r="K52" s="383"/>
    </row>
    <row r="53" spans="1:11" ht="15" customHeight="1" thickBot="1" x14ac:dyDescent="0.25">
      <c r="A53" s="501"/>
      <c r="B53" s="502"/>
      <c r="C53" s="485"/>
      <c r="D53" s="452"/>
      <c r="E53" s="191" t="s">
        <v>206</v>
      </c>
      <c r="F53" s="490"/>
      <c r="G53" s="136"/>
      <c r="H53" s="228">
        <f>G53*'Prezzi servizi "smart"'!$C$27</f>
        <v>0</v>
      </c>
      <c r="I53" s="400"/>
      <c r="J53" s="383"/>
      <c r="K53" s="383"/>
    </row>
    <row r="54" spans="1:11" ht="24" customHeight="1" thickBot="1" x14ac:dyDescent="0.25">
      <c r="A54" s="501"/>
      <c r="B54" s="502"/>
      <c r="C54" s="485"/>
      <c r="D54" s="348" t="s">
        <v>340</v>
      </c>
      <c r="E54" s="196" t="s">
        <v>297</v>
      </c>
      <c r="F54" s="353" t="s">
        <v>275</v>
      </c>
      <c r="G54" s="136"/>
      <c r="H54" s="328">
        <f>G54*'Prezzi servizi "smart"'!$H$11</f>
        <v>0</v>
      </c>
      <c r="I54" s="400"/>
      <c r="J54" s="383"/>
      <c r="K54" s="383"/>
    </row>
    <row r="55" spans="1:11" ht="14.5" customHeight="1" x14ac:dyDescent="0.2">
      <c r="A55" s="501"/>
      <c r="B55" s="502"/>
      <c r="C55" s="485"/>
      <c r="D55" s="450" t="s">
        <v>341</v>
      </c>
      <c r="E55" s="189" t="s">
        <v>208</v>
      </c>
      <c r="F55" s="204" t="s">
        <v>238</v>
      </c>
      <c r="G55" s="136"/>
      <c r="H55" s="228">
        <f>G55*'Prezzi servizi "smart"'!$C$33</f>
        <v>0</v>
      </c>
      <c r="I55" s="400"/>
      <c r="J55" s="383"/>
      <c r="K55" s="383"/>
    </row>
    <row r="56" spans="1:11" ht="15" customHeight="1" thickBot="1" x14ac:dyDescent="0.25">
      <c r="A56" s="501"/>
      <c r="B56" s="502"/>
      <c r="C56" s="486"/>
      <c r="D56" s="452"/>
      <c r="E56" s="189" t="s">
        <v>200</v>
      </c>
      <c r="F56" s="204" t="s">
        <v>239</v>
      </c>
      <c r="G56" s="136"/>
      <c r="H56" s="228">
        <f>G56*'Prezzi servizi "smart"'!$C$27</f>
        <v>0</v>
      </c>
      <c r="I56" s="400"/>
      <c r="J56" s="383"/>
      <c r="K56" s="383"/>
    </row>
    <row r="57" spans="1:11" ht="15" customHeight="1" thickBot="1" x14ac:dyDescent="0.25">
      <c r="A57" s="501"/>
      <c r="B57" s="502"/>
      <c r="C57" s="337"/>
      <c r="E57" s="199" t="s">
        <v>115</v>
      </c>
      <c r="F57" s="183"/>
      <c r="G57" s="168">
        <f>SUM(G44:G56)</f>
        <v>0</v>
      </c>
      <c r="H57" s="123">
        <f>SUM(H44:H56)</f>
        <v>0</v>
      </c>
      <c r="I57" s="400"/>
      <c r="J57" s="383"/>
      <c r="K57" s="383"/>
    </row>
    <row r="58" spans="1:11" ht="15" customHeight="1" thickBot="1" x14ac:dyDescent="0.25">
      <c r="A58" s="501"/>
      <c r="B58" s="502"/>
      <c r="C58" s="337"/>
      <c r="D58" s="12"/>
      <c r="I58" s="18"/>
    </row>
    <row r="59" spans="1:11" ht="15" customHeight="1" thickBot="1" x14ac:dyDescent="0.25">
      <c r="A59" s="501"/>
      <c r="B59" s="502"/>
      <c r="D59" s="12"/>
      <c r="E59" s="25" t="s">
        <v>102</v>
      </c>
      <c r="F59" s="26" t="s">
        <v>149</v>
      </c>
      <c r="G59" s="26" t="s">
        <v>148</v>
      </c>
      <c r="H59" s="27" t="s">
        <v>179</v>
      </c>
      <c r="I59" s="18"/>
    </row>
    <row r="60" spans="1:11" ht="24" customHeight="1" thickBot="1" x14ac:dyDescent="0.25">
      <c r="A60" s="501"/>
      <c r="B60" s="502"/>
      <c r="C60" s="497" t="s">
        <v>258</v>
      </c>
      <c r="D60" s="336" t="s">
        <v>340</v>
      </c>
      <c r="E60" s="181" t="s">
        <v>207</v>
      </c>
      <c r="F60" s="353" t="s">
        <v>275</v>
      </c>
      <c r="G60" s="116"/>
      <c r="H60" s="231">
        <f>G60*'Prezzi servizi "smart"'!$H$12</f>
        <v>0</v>
      </c>
      <c r="I60" s="127"/>
    </row>
    <row r="61" spans="1:11" ht="24" customHeight="1" thickBot="1" x14ac:dyDescent="0.25">
      <c r="A61" s="501"/>
      <c r="B61" s="502"/>
      <c r="C61" s="498"/>
      <c r="D61" s="336" t="s">
        <v>344</v>
      </c>
      <c r="E61" s="351" t="s">
        <v>187</v>
      </c>
      <c r="F61" s="359" t="s">
        <v>242</v>
      </c>
      <c r="G61" s="327"/>
      <c r="H61" s="352">
        <f>G61*'Prezzi servizi "smart"'!$H$17</f>
        <v>0</v>
      </c>
      <c r="I61" s="18"/>
    </row>
    <row r="62" spans="1:11" ht="15" customHeight="1" thickBot="1" x14ac:dyDescent="0.25">
      <c r="A62" s="501"/>
      <c r="B62" s="502"/>
      <c r="C62" s="342"/>
      <c r="E62" s="167" t="s">
        <v>115</v>
      </c>
      <c r="F62" s="183"/>
      <c r="G62" s="168">
        <f>SUM(G60:G61)</f>
        <v>0</v>
      </c>
      <c r="H62" s="200">
        <f>SUM(H60:H61)</f>
        <v>0</v>
      </c>
      <c r="I62" s="18"/>
    </row>
    <row r="63" spans="1:11" ht="15" customHeight="1" thickBot="1" x14ac:dyDescent="0.25">
      <c r="A63" s="501"/>
      <c r="B63" s="502"/>
      <c r="C63" s="342"/>
      <c r="I63" s="18"/>
    </row>
    <row r="64" spans="1:11" ht="15" customHeight="1" thickBot="1" x14ac:dyDescent="0.25">
      <c r="A64" s="501"/>
      <c r="B64" s="502"/>
      <c r="C64" s="342"/>
      <c r="E64" s="25" t="s">
        <v>102</v>
      </c>
      <c r="F64" s="26" t="s">
        <v>149</v>
      </c>
      <c r="G64" s="26" t="s">
        <v>148</v>
      </c>
      <c r="H64" s="27" t="s">
        <v>179</v>
      </c>
      <c r="I64" s="18"/>
    </row>
    <row r="65" spans="1:14" ht="14.5" customHeight="1" x14ac:dyDescent="0.2">
      <c r="A65" s="501"/>
      <c r="B65" s="502"/>
      <c r="C65" s="497" t="s">
        <v>342</v>
      </c>
      <c r="D65" s="495" t="s">
        <v>343</v>
      </c>
      <c r="E65" s="344" t="s">
        <v>193</v>
      </c>
      <c r="F65" s="345" t="s">
        <v>240</v>
      </c>
      <c r="G65" s="135"/>
      <c r="H65" s="346">
        <f>G65*'Prezzi servizi "smart"'!$H$4</f>
        <v>0</v>
      </c>
      <c r="I65" s="18"/>
    </row>
    <row r="66" spans="1:14" ht="15" customHeight="1" thickBot="1" x14ac:dyDescent="0.25">
      <c r="A66" s="503"/>
      <c r="B66" s="504"/>
      <c r="C66" s="498"/>
      <c r="D66" s="496"/>
      <c r="E66" s="190" t="s">
        <v>194</v>
      </c>
      <c r="F66" s="347" t="s">
        <v>236</v>
      </c>
      <c r="G66" s="171"/>
      <c r="H66" s="230">
        <f>G66*'Prezzi servizi "smart"'!$H$5</f>
        <v>0</v>
      </c>
    </row>
    <row r="67" spans="1:14" ht="16" thickBot="1" x14ac:dyDescent="0.25">
      <c r="D67" s="203"/>
      <c r="E67" s="323" t="s">
        <v>115</v>
      </c>
      <c r="F67" s="324"/>
      <c r="G67" s="325">
        <f>SUM(G65:G66)</f>
        <v>0</v>
      </c>
      <c r="H67" s="350">
        <f>SUM(H65:H66)</f>
        <v>0</v>
      </c>
      <c r="I67" s="18"/>
    </row>
    <row r="68" spans="1:14" x14ac:dyDescent="0.2">
      <c r="I68" s="18"/>
    </row>
    <row r="69" spans="1:14" x14ac:dyDescent="0.2">
      <c r="J69" s="18"/>
    </row>
    <row r="70" spans="1:14" x14ac:dyDescent="0.2">
      <c r="C70" s="298" t="s">
        <v>22</v>
      </c>
      <c r="D70" s="299"/>
      <c r="J70" s="86"/>
      <c r="K70" s="86"/>
      <c r="L70" s="86"/>
      <c r="M70" s="86"/>
      <c r="N70" s="86"/>
    </row>
    <row r="71" spans="1:14" x14ac:dyDescent="0.2">
      <c r="C71" s="178" t="s">
        <v>25</v>
      </c>
      <c r="D71" s="184">
        <f>K21</f>
        <v>0</v>
      </c>
      <c r="J71" s="86"/>
      <c r="K71" s="96"/>
      <c r="L71" s="96"/>
      <c r="M71" s="96"/>
      <c r="N71" s="95"/>
    </row>
    <row r="72" spans="1:14" x14ac:dyDescent="0.2">
      <c r="C72" s="175" t="s">
        <v>24</v>
      </c>
      <c r="D72" s="182">
        <f>L21</f>
        <v>0</v>
      </c>
      <c r="I72" s="86"/>
      <c r="J72" s="95"/>
      <c r="K72" s="95"/>
      <c r="L72" s="95"/>
      <c r="M72" s="95"/>
    </row>
    <row r="73" spans="1:14" x14ac:dyDescent="0.2">
      <c r="C73" s="175" t="s">
        <v>299</v>
      </c>
      <c r="D73" s="182">
        <f>SUM(F27:F30)</f>
        <v>0</v>
      </c>
      <c r="I73" s="86"/>
      <c r="J73" s="95"/>
      <c r="K73" s="95"/>
      <c r="L73" s="95"/>
      <c r="M73" s="95"/>
    </row>
    <row r="74" spans="1:14" x14ac:dyDescent="0.2">
      <c r="C74" s="175" t="s">
        <v>267</v>
      </c>
      <c r="D74" s="182">
        <f>F32</f>
        <v>0</v>
      </c>
      <c r="I74" s="86"/>
      <c r="J74" s="95"/>
      <c r="K74" s="95"/>
      <c r="L74" s="95"/>
      <c r="M74" s="95"/>
    </row>
    <row r="75" spans="1:14" x14ac:dyDescent="0.2">
      <c r="C75" s="16" t="s">
        <v>226</v>
      </c>
      <c r="D75" s="182">
        <f>IF(G43="si",L21,0)</f>
        <v>0</v>
      </c>
      <c r="I75" s="91"/>
      <c r="J75" s="88"/>
      <c r="K75" s="87"/>
      <c r="L75" s="87"/>
      <c r="M75" s="95"/>
    </row>
    <row r="76" spans="1:14" x14ac:dyDescent="0.2">
      <c r="C76" s="175" t="s">
        <v>300</v>
      </c>
      <c r="D76" s="182">
        <f>SUM(G44:G47)</f>
        <v>0</v>
      </c>
      <c r="I76" s="89"/>
      <c r="J76" s="89"/>
      <c r="K76" s="89"/>
      <c r="L76" s="89"/>
      <c r="M76" s="95"/>
    </row>
    <row r="77" spans="1:14" x14ac:dyDescent="0.2">
      <c r="C77" s="16" t="s">
        <v>216</v>
      </c>
      <c r="D77" s="182">
        <f>G48+G49</f>
        <v>0</v>
      </c>
      <c r="I77" s="90"/>
      <c r="J77" s="96"/>
      <c r="K77" s="96"/>
      <c r="L77" s="90"/>
      <c r="M77" s="95"/>
    </row>
    <row r="78" spans="1:14" x14ac:dyDescent="0.2">
      <c r="C78" s="16" t="s">
        <v>218</v>
      </c>
      <c r="D78" s="182">
        <f>G50</f>
        <v>0</v>
      </c>
      <c r="I78" s="90"/>
      <c r="J78" s="95"/>
      <c r="K78" s="95"/>
      <c r="L78" s="90"/>
      <c r="M78" s="95"/>
    </row>
    <row r="79" spans="1:14" x14ac:dyDescent="0.2">
      <c r="C79" s="16" t="s">
        <v>211</v>
      </c>
      <c r="D79" s="182">
        <f>SUM(G51:G53)</f>
        <v>0</v>
      </c>
      <c r="I79" s="90"/>
      <c r="J79" s="95"/>
      <c r="K79" s="95"/>
      <c r="L79" s="90"/>
      <c r="M79" s="95"/>
    </row>
    <row r="80" spans="1:14" x14ac:dyDescent="0.2">
      <c r="C80" s="16" t="s">
        <v>212</v>
      </c>
      <c r="D80" s="182">
        <f>G55</f>
        <v>0</v>
      </c>
      <c r="I80" s="90"/>
      <c r="J80" s="95"/>
      <c r="K80" s="95"/>
      <c r="L80" s="90"/>
      <c r="M80" s="95"/>
    </row>
    <row r="81" spans="3:13" x14ac:dyDescent="0.2">
      <c r="C81" s="16" t="s">
        <v>213</v>
      </c>
      <c r="D81" s="182">
        <f>G56</f>
        <v>0</v>
      </c>
      <c r="I81" s="90"/>
      <c r="J81" s="90"/>
      <c r="K81" s="90"/>
      <c r="L81" s="90"/>
      <c r="M81" s="86"/>
    </row>
    <row r="82" spans="3:13" x14ac:dyDescent="0.2">
      <c r="C82" s="16" t="s">
        <v>210</v>
      </c>
      <c r="D82" s="182">
        <f>G65</f>
        <v>0</v>
      </c>
      <c r="I82" s="90"/>
      <c r="J82" s="90"/>
      <c r="K82" s="90"/>
      <c r="L82" s="90"/>
      <c r="M82" s="86"/>
    </row>
    <row r="83" spans="3:13" x14ac:dyDescent="0.2">
      <c r="C83" s="16" t="s">
        <v>298</v>
      </c>
      <c r="D83" s="182">
        <f>G60+G54</f>
        <v>0</v>
      </c>
      <c r="I83" s="19"/>
      <c r="J83" s="19"/>
      <c r="K83" s="19"/>
      <c r="L83" s="19"/>
    </row>
    <row r="84" spans="3:13" x14ac:dyDescent="0.2">
      <c r="C84" s="175" t="s">
        <v>217</v>
      </c>
      <c r="D84" s="182">
        <f>G61</f>
        <v>0</v>
      </c>
      <c r="I84" s="19"/>
      <c r="J84" s="19"/>
      <c r="K84" s="19"/>
      <c r="L84" s="19"/>
    </row>
    <row r="85" spans="3:13" x14ac:dyDescent="0.2">
      <c r="C85" s="179" t="s">
        <v>214</v>
      </c>
      <c r="D85" s="4">
        <f>G66</f>
        <v>0</v>
      </c>
      <c r="F85" s="446" t="s">
        <v>138</v>
      </c>
      <c r="G85" s="447"/>
      <c r="I85" s="19"/>
      <c r="J85" s="19"/>
      <c r="K85" s="19"/>
      <c r="L85" s="19"/>
    </row>
    <row r="86" spans="3:13" x14ac:dyDescent="0.2">
      <c r="I86" s="19"/>
      <c r="J86" s="19"/>
      <c r="K86" s="19"/>
      <c r="L86" s="19"/>
    </row>
    <row r="87" spans="3:13" x14ac:dyDescent="0.2">
      <c r="C87" s="296" t="s">
        <v>18</v>
      </c>
      <c r="D87" s="297"/>
      <c r="F87" s="472" t="s">
        <v>122</v>
      </c>
      <c r="G87" s="473"/>
      <c r="I87" s="19"/>
      <c r="J87" s="19"/>
      <c r="K87" s="19"/>
      <c r="L87" s="19"/>
    </row>
    <row r="88" spans="3:13" x14ac:dyDescent="0.2">
      <c r="C88" s="20" t="s">
        <v>20</v>
      </c>
      <c r="D88" s="103">
        <f>'Prezzi smart adaptive lighting'!$F$19*D71+F27*'Prezzi smart adaptive lighting'!F20+SUM(CONSIP!F28:F30)*'Prezzi smart adaptive lighting'!F21+D74*'Prezzi smart adaptive lighting'!F22+G44*'Prezzi servizi "smart"'!$D$9+SUM(G45:G47)*'Prezzi servizi "smart"'!$D$10+G49*'Prezzi servizi "smart"'!$D$18+G48*'Prezzi servizi "smart"'!$D$17+D78*'Prezzi servizi "smart"'!$D$19+G51*'Prezzi servizi "smart"'!$D$25+G52*'Prezzi servizi "smart"'!$D$26+G53*'Prezzi servizi "smart"'!$D$27+D80*'Prezzi servizi "smart"'!$D$33+D81*'Prezzi servizi "smart"'!$D$34+D82*'Prezzi servizi "smart"'!$I$4+G54*'Prezzi servizi "smart"'!$I$11+G60*'Prezzi servizi "smart"'!$I$12+D84*'Prezzi servizi "smart"'!$I$17+D85*'Prezzi servizi "smart"'!$I$5</f>
        <v>0</v>
      </c>
      <c r="F88" s="22" t="s">
        <v>137</v>
      </c>
      <c r="G88" s="125">
        <f>G89*(1-G90)</f>
        <v>0</v>
      </c>
      <c r="I88" s="19"/>
      <c r="J88" s="19"/>
      <c r="K88" s="19"/>
      <c r="L88" s="19"/>
    </row>
    <row r="89" spans="3:13" x14ac:dyDescent="0.2">
      <c r="C89" s="1" t="s">
        <v>125</v>
      </c>
      <c r="D89" s="104">
        <f>D71*'Prezzi smart adaptive lighting'!F4</f>
        <v>0</v>
      </c>
      <c r="F89" s="1" t="s">
        <v>135</v>
      </c>
      <c r="G89" s="79">
        <f>'Prezzi smart adaptive lighting'!F15*D71</f>
        <v>0</v>
      </c>
      <c r="H89" s="18"/>
      <c r="I89" s="18"/>
      <c r="J89" s="18"/>
      <c r="K89" s="18"/>
      <c r="L89" s="18"/>
    </row>
    <row r="90" spans="3:13" x14ac:dyDescent="0.2">
      <c r="C90" s="93" t="s">
        <v>127</v>
      </c>
      <c r="D90" s="104">
        <f>D72*'Prezzi smart adaptive lighting'!F5</f>
        <v>0</v>
      </c>
      <c r="F90" s="22" t="s">
        <v>21</v>
      </c>
      <c r="G90" s="120">
        <f>IF(E25="si",10%,IF(OR(F27&gt;0,F28&gt;0,F29&gt;0,F30&gt;0,F32&gt;0),10%,0))</f>
        <v>0.1</v>
      </c>
    </row>
    <row r="91" spans="3:13" x14ac:dyDescent="0.2">
      <c r="C91" s="93" t="s">
        <v>301</v>
      </c>
      <c r="D91" s="104">
        <f>SUM(G27:G30)</f>
        <v>0</v>
      </c>
    </row>
    <row r="92" spans="3:13" x14ac:dyDescent="0.2">
      <c r="C92" s="93" t="s">
        <v>268</v>
      </c>
      <c r="D92" s="79">
        <f>G32</f>
        <v>0</v>
      </c>
      <c r="F92" s="472" t="s">
        <v>23</v>
      </c>
      <c r="G92" s="473"/>
    </row>
    <row r="93" spans="3:13" x14ac:dyDescent="0.2">
      <c r="C93" s="76" t="s">
        <v>227</v>
      </c>
      <c r="D93" s="194">
        <f>D75*'Prezzi servizi "smart"'!C4</f>
        <v>0</v>
      </c>
      <c r="F93" s="20" t="s">
        <v>117</v>
      </c>
      <c r="G93" s="97">
        <v>0.14000000000000001</v>
      </c>
    </row>
    <row r="94" spans="3:13" x14ac:dyDescent="0.2">
      <c r="C94" s="93" t="s">
        <v>302</v>
      </c>
      <c r="D94" s="104">
        <f>SUM(H44:H47)</f>
        <v>0</v>
      </c>
      <c r="F94" s="22" t="s">
        <v>129</v>
      </c>
      <c r="G94" s="24">
        <f>G95*(1+G96)</f>
        <v>0</v>
      </c>
    </row>
    <row r="95" spans="3:13" x14ac:dyDescent="0.2">
      <c r="C95" s="76" t="s">
        <v>219</v>
      </c>
      <c r="D95" s="79">
        <f>H48+H49</f>
        <v>0</v>
      </c>
      <c r="F95" s="21" t="s">
        <v>130</v>
      </c>
      <c r="G95" s="81">
        <f>SUMPRODUCT(D6:D20,E6:E20,G6:G20)</f>
        <v>0</v>
      </c>
    </row>
    <row r="96" spans="3:13" x14ac:dyDescent="0.2">
      <c r="C96" s="76" t="s">
        <v>220</v>
      </c>
      <c r="D96" s="79">
        <f>+H50</f>
        <v>0</v>
      </c>
      <c r="F96" s="22" t="s">
        <v>21</v>
      </c>
      <c r="G96" s="80">
        <f>IF(E25="si",-30%,IF(OR(F27&gt;0,F28&gt;0,F29&gt;0,F30&gt;0),-40%,IF(F32&gt;0,-50%,0)))</f>
        <v>-0.3</v>
      </c>
    </row>
    <row r="97" spans="3:8" x14ac:dyDescent="0.2">
      <c r="C97" s="76" t="s">
        <v>221</v>
      </c>
      <c r="D97" s="79">
        <f>+SUM(H51:H53)</f>
        <v>0</v>
      </c>
      <c r="H97" s="160"/>
    </row>
    <row r="98" spans="3:8" x14ac:dyDescent="0.2">
      <c r="C98" s="76" t="s">
        <v>222</v>
      </c>
      <c r="D98" s="79">
        <f>+H55</f>
        <v>0</v>
      </c>
      <c r="F98" s="472" t="s">
        <v>281</v>
      </c>
      <c r="G98" s="473"/>
      <c r="H98" s="159"/>
    </row>
    <row r="99" spans="3:8" x14ac:dyDescent="0.2">
      <c r="C99" s="76" t="s">
        <v>223</v>
      </c>
      <c r="D99" s="79">
        <f>+H56</f>
        <v>0</v>
      </c>
      <c r="F99" s="74" t="s">
        <v>282</v>
      </c>
      <c r="G99" s="301">
        <v>5.1346022727272684</v>
      </c>
      <c r="H99" s="159"/>
    </row>
    <row r="100" spans="3:8" x14ac:dyDescent="0.2">
      <c r="C100" s="76" t="s">
        <v>307</v>
      </c>
      <c r="D100" s="79">
        <f>+H65</f>
        <v>0</v>
      </c>
      <c r="F100" s="82" t="s">
        <v>283</v>
      </c>
      <c r="G100" s="300">
        <f>(G95-G94)</f>
        <v>0</v>
      </c>
      <c r="H100" s="160"/>
    </row>
    <row r="101" spans="3:8" x14ac:dyDescent="0.2">
      <c r="C101" s="76" t="s">
        <v>303</v>
      </c>
      <c r="D101" s="79">
        <f>+H60+H54</f>
        <v>0</v>
      </c>
      <c r="F101" s="82" t="s">
        <v>285</v>
      </c>
      <c r="G101" s="172">
        <v>0.38500000000000001</v>
      </c>
      <c r="H101" s="17"/>
    </row>
    <row r="102" spans="3:8" x14ac:dyDescent="0.2">
      <c r="C102" s="193" t="s">
        <v>224</v>
      </c>
      <c r="D102" s="79">
        <f>+H61</f>
        <v>0</v>
      </c>
      <c r="F102" s="22" t="s">
        <v>286</v>
      </c>
      <c r="G102" s="310">
        <f>G100*G101*G99/1000</f>
        <v>0</v>
      </c>
      <c r="H102" s="161"/>
    </row>
    <row r="103" spans="3:8" x14ac:dyDescent="0.2">
      <c r="C103" s="76" t="s">
        <v>225</v>
      </c>
      <c r="D103" s="79">
        <f>+H66</f>
        <v>0</v>
      </c>
      <c r="H103" s="161"/>
    </row>
    <row r="104" spans="3:8" x14ac:dyDescent="0.2">
      <c r="C104" s="76" t="s">
        <v>231</v>
      </c>
      <c r="D104" s="79">
        <f>IF(G43="si",'Prezzi servizi "smart"'!D4*CONSIP!D71,0)</f>
        <v>0</v>
      </c>
      <c r="F104" s="284" t="s">
        <v>123</v>
      </c>
      <c r="G104" s="285"/>
      <c r="H104" s="162"/>
    </row>
    <row r="105" spans="3:8" x14ac:dyDescent="0.2">
      <c r="C105" s="93" t="s">
        <v>323</v>
      </c>
      <c r="D105" s="79">
        <f>(F28)*(IF(I28='Prezzi smart adaptive lighting'!B16,'Prezzi smart adaptive lighting'!C16,IF(I28='Prezzi smart adaptive lighting'!B17,'Prezzi smart adaptive lighting'!C17,IF(I28='Prezzi smart adaptive lighting'!B18,'Prezzi smart adaptive lighting'!C18,IF(I28='Prezzi smart adaptive lighting'!B19,'Prezzi smart adaptive lighting'!C19,'Prezzi smart adaptive lighting'!C20)))))+(F29)*(IF(I29='Prezzi smart adaptive lighting'!B16,'Prezzi smart adaptive lighting'!C16,IF(I29='Prezzi smart adaptive lighting'!B17,'Prezzi smart adaptive lighting'!C17,IF(I29='Prezzi smart adaptive lighting'!B18,'Prezzi smart adaptive lighting'!C18,IF(I29='Prezzi smart adaptive lighting'!B19,'Prezzi smart adaptive lighting'!C19,'Prezzi smart adaptive lighting'!C20)))))+(F29)*(IF(J29='Prezzi smart adaptive lighting'!B16,'Prezzi smart adaptive lighting'!C16,IF(J29='Prezzi smart adaptive lighting'!B17,'Prezzi smart adaptive lighting'!C17,IF(J29='Prezzi smart adaptive lighting'!B18,'Prezzi smart adaptive lighting'!C18,IF(J29='Prezzi smart adaptive lighting'!B19,'Prezzi smart adaptive lighting'!C19,'Prezzi smart adaptive lighting'!C20)))))+(F30)*(IF(I30='Prezzi smart adaptive lighting'!B16,'Prezzi smart adaptive lighting'!C16,IF(I30='Prezzi smart adaptive lighting'!B17,'Prezzi smart adaptive lighting'!C17,IF(I30='Prezzi smart adaptive lighting'!B18,'Prezzi smart adaptive lighting'!C18,IF(I30='Prezzi smart adaptive lighting'!B19,'Prezzi smart adaptive lighting'!C19,'Prezzi smart adaptive lighting'!C20)))))+(F30)*(IF(J30='Prezzi smart adaptive lighting'!B16,'Prezzi smart adaptive lighting'!C16,IF(J30='Prezzi smart adaptive lighting'!B17,'Prezzi smart adaptive lighting'!C17,IF(J30='Prezzi smart adaptive lighting'!B18,'Prezzi smart adaptive lighting'!C18,IF(J30='Prezzi smart adaptive lighting'!B19,'Prezzi smart adaptive lighting'!C19,'Prezzi smart adaptive lighting'!C20)))))+(F30)*(IF(K30='Prezzi smart adaptive lighting'!B16,'Prezzi smart adaptive lighting'!C16,IF(K30='Prezzi smart adaptive lighting'!B17,'Prezzi smart adaptive lighting'!C17,IF(K30='Prezzi smart adaptive lighting'!B18,'Prezzi smart adaptive lighting'!C18,IF(K30='Prezzi smart adaptive lighting'!B19,'Prezzi smart adaptive lighting'!C19,'Prezzi smart adaptive lighting'!C20)))))</f>
        <v>0</v>
      </c>
      <c r="E105" t="s">
        <v>345</v>
      </c>
      <c r="F105" s="133" t="s">
        <v>232</v>
      </c>
      <c r="G105" s="100">
        <f>D72*'Prezzi smart adaptive lighting'!F11</f>
        <v>0</v>
      </c>
      <c r="H105" s="161"/>
    </row>
    <row r="106" spans="3:8" x14ac:dyDescent="0.2">
      <c r="C106" s="93" t="s">
        <v>324</v>
      </c>
      <c r="D106" s="79">
        <f>(G45)*(IF(I45='Prezzi smart adaptive lighting'!B16,'Prezzi smart adaptive lighting'!C16,IF(I45='Prezzi smart adaptive lighting'!B17,'Prezzi smart adaptive lighting'!C17,IF(I45='Prezzi smart adaptive lighting'!B18,'Prezzi smart adaptive lighting'!C18,IF(I45='Prezzi smart adaptive lighting'!B19,'Prezzi smart adaptive lighting'!C19,'Prezzi smart adaptive lighting'!C20)))))+(G46)*(IF(I46='Prezzi smart adaptive lighting'!B16,'Prezzi smart adaptive lighting'!C16,IF(I46='Prezzi smart adaptive lighting'!B17,'Prezzi smart adaptive lighting'!C17,IF(I46='Prezzi smart adaptive lighting'!B18,'Prezzi smart adaptive lighting'!C18,IF(I46='Prezzi smart adaptive lighting'!B19,'Prezzi smart adaptive lighting'!C19,'Prezzi smart adaptive lighting'!C20)))))+(G46)*(IF(J46='Prezzi smart adaptive lighting'!B16,'Prezzi smart adaptive lighting'!C16,IF(J46='Prezzi smart adaptive lighting'!B17,'Prezzi smart adaptive lighting'!C17,IF(J46='Prezzi smart adaptive lighting'!B18,'Prezzi smart adaptive lighting'!C18,IF(J46='Prezzi smart adaptive lighting'!B19,'Prezzi smart adaptive lighting'!C19,'Prezzi smart adaptive lighting'!C20)))))+(G47)*(IF(I47='Prezzi smart adaptive lighting'!B16,'Prezzi smart adaptive lighting'!C16,IF(I47='Prezzi smart adaptive lighting'!B17,'Prezzi smart adaptive lighting'!C17,IF(I47='Prezzi smart adaptive lighting'!B18,'Prezzi smart adaptive lighting'!C18,IF(I47='Prezzi smart adaptive lighting'!B19,'Prezzi smart adaptive lighting'!C19,'Prezzi smart adaptive lighting'!C20)))))+(G47)*(IF(J47='Prezzi smart adaptive lighting'!B16,'Prezzi smart adaptive lighting'!C16,IF(J47='Prezzi smart adaptive lighting'!B17,'Prezzi smart adaptive lighting'!C17,IF(J47='Prezzi smart adaptive lighting'!B18,'Prezzi smart adaptive lighting'!C18,IF(J47='Prezzi smart adaptive lighting'!B19,'Prezzi smart adaptive lighting'!C19,'Prezzi smart adaptive lighting'!C20)))))+(G47)*(IF(K47='Prezzi smart adaptive lighting'!B16,'Prezzi smart adaptive lighting'!C16,IF(K47='Prezzi smart adaptive lighting'!B17,'Prezzi smart adaptive lighting'!C17,IF(K47='Prezzi smart adaptive lighting'!B18,'Prezzi smart adaptive lighting'!C18,IF(K47='Prezzi smart adaptive lighting'!B19,'Prezzi smart adaptive lighting'!C19,'Prezzi smart adaptive lighting'!C20)))))+(G49)*'Prezzi smart adaptive lighting'!$C$19+(G54)*'Prezzi smart adaptive lighting'!$C$20</f>
        <v>0</v>
      </c>
      <c r="E106" t="s">
        <v>345</v>
      </c>
      <c r="F106" s="93" t="s">
        <v>233</v>
      </c>
      <c r="G106" s="291">
        <f>IF(OR(G60&gt;0,G61&gt;0,G66&gt;0),50000,0)</f>
        <v>0</v>
      </c>
      <c r="H106" s="161" t="s">
        <v>241</v>
      </c>
    </row>
    <row r="107" spans="3:8" x14ac:dyDescent="0.2">
      <c r="C107" s="93" t="s">
        <v>271</v>
      </c>
      <c r="D107" s="79">
        <f>IF(G107="si",10000,0)</f>
        <v>0</v>
      </c>
      <c r="E107" t="s">
        <v>272</v>
      </c>
      <c r="F107" s="16" t="s">
        <v>273</v>
      </c>
      <c r="G107" s="289" t="s">
        <v>119</v>
      </c>
      <c r="H107" s="161"/>
    </row>
    <row r="108" spans="3:8" x14ac:dyDescent="0.2">
      <c r="C108" s="3" t="s">
        <v>346</v>
      </c>
      <c r="D108" s="259"/>
      <c r="F108" s="21" t="s">
        <v>274</v>
      </c>
      <c r="G108" s="290"/>
      <c r="H108" s="161"/>
    </row>
    <row r="109" spans="3:8" x14ac:dyDescent="0.2">
      <c r="C109" s="121" t="s">
        <v>165</v>
      </c>
      <c r="D109" s="122">
        <f>SUM(D88:D108)</f>
        <v>0</v>
      </c>
      <c r="F109" s="21" t="s">
        <v>164</v>
      </c>
      <c r="G109" s="292">
        <f>IF(F37="si",F39,'Prezzi smart adaptive lighting'!C15*D71)*IF(F27&gt;0,(1.1),1)*IF(F32&gt;0,(1.2),1)+IF(F37="si",F39,'Prezzi smart adaptive lighting'!C15*D71)*IF(COUNTBLANK(G44)+COUNTBLANK(G48)+COUNTBLANK(G50:G53)+COUNTBLANK(G55:G56)+COUNTBLANK(G60:G61)+COUNTBLANK(G65:G66)=11,(1.1),0)+IF(F37="si",F39,'Prezzi smart adaptive lighting'!C15*D71)*IF(COUNTBLANK(G44)+COUNTBLANK(G48)+COUNTBLANK(G50:G53)+COUNTBLANK(G55:G56)+COUNTBLANK(G60:G61)+COUNTBLANK(G65:G66)=10,(1.2),0)+IF(F37="si",F39,'Prezzi smart adaptive lighting'!C15*D71)*IF(COUNTBLANK(G44)+COUNTBLANK(G48)+COUNTBLANK(G50:G53)+COUNTBLANK(G55:G56)+COUNTBLANK(G60:G61)+COUNTBLANK(G65:G66)&lt;=9,(1.3),0)+IF(D75&gt;0,500,0)+IF(G107="si",G108,0)</f>
        <v>0</v>
      </c>
      <c r="H109" s="161"/>
    </row>
    <row r="110" spans="3:8" x14ac:dyDescent="0.2">
      <c r="C110" s="82" t="s">
        <v>154</v>
      </c>
      <c r="D110" s="172">
        <v>9</v>
      </c>
      <c r="E110" s="12"/>
      <c r="H110" s="161"/>
    </row>
    <row r="111" spans="3:8" x14ac:dyDescent="0.2">
      <c r="H111" s="161"/>
    </row>
    <row r="112" spans="3:8" x14ac:dyDescent="0.2">
      <c r="H112" s="161"/>
    </row>
    <row r="113" spans="3:20" x14ac:dyDescent="0.2">
      <c r="C113" s="446" t="s">
        <v>0</v>
      </c>
      <c r="D113" s="447"/>
      <c r="H113" s="18"/>
    </row>
    <row r="114" spans="3:20" x14ac:dyDescent="0.2">
      <c r="C114" s="20" t="s">
        <v>180</v>
      </c>
      <c r="D114" s="83">
        <v>0.4</v>
      </c>
    </row>
    <row r="115" spans="3:20" x14ac:dyDescent="0.2">
      <c r="C115" s="9" t="s">
        <v>155</v>
      </c>
      <c r="D115" s="134">
        <v>0.13780000000000001</v>
      </c>
    </row>
    <row r="116" spans="3:20" x14ac:dyDescent="0.2">
      <c r="C116" s="1" t="s">
        <v>159</v>
      </c>
      <c r="D116" s="117">
        <v>0.5</v>
      </c>
      <c r="E116" s="72" t="str">
        <f>IF((D116+D117)&lt;1,"ATTENZIONE! Controllare valore","ok")</f>
        <v>ok</v>
      </c>
    </row>
    <row r="117" spans="3:20" x14ac:dyDescent="0.2">
      <c r="C117" s="1" t="s">
        <v>160</v>
      </c>
      <c r="D117" s="118">
        <v>0.5</v>
      </c>
      <c r="E117" s="72" t="str">
        <f>IF((D116+D117)&lt;1,"ATTENZIONE! Controllare valore","ok")</f>
        <v>ok</v>
      </c>
    </row>
    <row r="118" spans="3:20" x14ac:dyDescent="0.2">
      <c r="C118" s="93" t="s">
        <v>161</v>
      </c>
      <c r="D118" s="137">
        <v>0</v>
      </c>
    </row>
    <row r="119" spans="3:20" x14ac:dyDescent="0.2">
      <c r="C119" s="1" t="s">
        <v>19</v>
      </c>
      <c r="D119" s="117">
        <v>7.0000000000000007E-2</v>
      </c>
    </row>
    <row r="120" spans="3:20" x14ac:dyDescent="0.2">
      <c r="C120" s="1" t="s">
        <v>158</v>
      </c>
      <c r="D120" s="117">
        <v>0.15</v>
      </c>
      <c r="E120" s="101"/>
    </row>
    <row r="121" spans="3:20" x14ac:dyDescent="0.2">
      <c r="C121" s="93" t="s">
        <v>162</v>
      </c>
      <c r="D121" s="137">
        <v>0</v>
      </c>
      <c r="E121" s="102"/>
    </row>
    <row r="122" spans="3:20" x14ac:dyDescent="0.2">
      <c r="C122" s="22" t="s">
        <v>27</v>
      </c>
      <c r="D122" s="80">
        <f>D116*D119+D117*D120+D118*D121</f>
        <v>0.11</v>
      </c>
    </row>
    <row r="124" spans="3:20" s="18" customFormat="1" x14ac:dyDescent="0.2"/>
    <row r="125" spans="3:20" s="18" customFormat="1" x14ac:dyDescent="0.2">
      <c r="C125" s="127"/>
      <c r="D125" s="144"/>
      <c r="F125" s="145"/>
    </row>
    <row r="126" spans="3:20" x14ac:dyDescent="0.2">
      <c r="C126" s="148" t="s">
        <v>389</v>
      </c>
      <c r="N126" s="18"/>
      <c r="O126" s="18"/>
      <c r="P126" s="18"/>
      <c r="Q126" s="18"/>
      <c r="R126" s="18"/>
      <c r="S126" s="18"/>
      <c r="T126" s="18"/>
    </row>
    <row r="127" spans="3:20" x14ac:dyDescent="0.2">
      <c r="N127" s="18"/>
      <c r="O127" s="18"/>
      <c r="P127" s="18"/>
      <c r="Q127" s="18"/>
      <c r="R127" s="18"/>
      <c r="S127" s="18"/>
      <c r="T127" s="18"/>
    </row>
    <row r="128" spans="3:20" x14ac:dyDescent="0.2">
      <c r="C128" s="5" t="s">
        <v>2</v>
      </c>
      <c r="D128" s="6">
        <v>0</v>
      </c>
      <c r="E128" s="6">
        <v>1</v>
      </c>
      <c r="F128" s="6">
        <v>2</v>
      </c>
      <c r="G128" s="6">
        <v>3</v>
      </c>
      <c r="H128" s="6">
        <v>4</v>
      </c>
      <c r="I128" s="6">
        <v>5</v>
      </c>
      <c r="J128" s="6">
        <v>6</v>
      </c>
      <c r="K128" s="6">
        <v>7</v>
      </c>
      <c r="L128" s="6">
        <v>8</v>
      </c>
      <c r="M128" s="6">
        <v>9</v>
      </c>
      <c r="N128" s="132"/>
      <c r="O128" s="132"/>
      <c r="P128" s="132"/>
      <c r="Q128" s="132"/>
      <c r="R128" s="132"/>
      <c r="S128" s="132"/>
      <c r="T128" s="18"/>
    </row>
    <row r="129" spans="3:24" x14ac:dyDescent="0.2">
      <c r="C129" s="72" t="s">
        <v>167</v>
      </c>
      <c r="D129" s="142">
        <f>D109*(1+D115)</f>
        <v>0</v>
      </c>
      <c r="N129" s="18"/>
      <c r="O129" s="18"/>
      <c r="P129" s="18"/>
      <c r="Q129" s="18"/>
      <c r="R129" s="18"/>
      <c r="S129" s="18"/>
      <c r="T129" s="18"/>
    </row>
    <row r="130" spans="3:24" x14ac:dyDescent="0.2">
      <c r="C130" s="72" t="s">
        <v>168</v>
      </c>
      <c r="E130" s="142">
        <f>$G$105+$G$106+$G$109+IF($G$60&gt;0,0.1*($H$60+$G$60*'Prezzi servizi "smart"'!$I$12),0)+IF(CONSIP!$G$61&gt;0,0.1*(CONSIP!$D$102+CONSIP!$G$61*'Prezzi servizi "smart"'!$I$17),0)</f>
        <v>0</v>
      </c>
      <c r="F130" s="142">
        <f>$G$105+$G$106+$G$109+IF($G$60&gt;0,0.1*($H$60+$G$60*'Prezzi servizi "smart"'!$I$12),0)+IF(CONSIP!$G$61&gt;0,0.1*(CONSIP!$D$102+CONSIP!$G$61*'Prezzi servizi "smart"'!$I$17),0)</f>
        <v>0</v>
      </c>
      <c r="G130" s="142">
        <f>$G$105+$G$106+$G$109+IF($G$60&gt;0,0.1*($H$60+$G$60*'Prezzi servizi "smart"'!$I$12),0)+IF(CONSIP!$G$61&gt;0,0.1*(CONSIP!$D$102+CONSIP!$G$61*'Prezzi servizi "smart"'!$I$17),0)</f>
        <v>0</v>
      </c>
      <c r="H130" s="142">
        <f>$G$105+$G$106+$G$109+IF($G$60&gt;0,0.1*($H$60+$G$60*'Prezzi servizi "smart"'!$I$12),0)+IF(CONSIP!$G$61&gt;0,0.1*(CONSIP!$D$102+CONSIP!$G$61*'Prezzi servizi "smart"'!$I$17),0)</f>
        <v>0</v>
      </c>
      <c r="I130" s="142">
        <f>$G$105+$G$106+$G$109+IF($G$60&gt;0,0.1*($H$60+$G$60*'Prezzi servizi "smart"'!$I$12),0)+IF(CONSIP!$G$61&gt;0,0.1*(CONSIP!$D$102+CONSIP!$G$61*'Prezzi servizi "smart"'!$I$17),0)</f>
        <v>0</v>
      </c>
      <c r="J130" s="142">
        <f>$G$105+$G$106+$G$109+IF($G$60&gt;0,0.1*($H$60+$G$60*'Prezzi servizi "smart"'!$I$12),0)+IF(CONSIP!$G$61&gt;0,0.1*(CONSIP!$D$102+CONSIP!$G$61*'Prezzi servizi "smart"'!$I$17),0)</f>
        <v>0</v>
      </c>
      <c r="K130" s="142">
        <f>$G$105+$G$106+$G$109+IF($G$60&gt;0,0.1*($H$60+$G$60*'Prezzi servizi "smart"'!$I$12),0)+IF(CONSIP!$G$61&gt;0,0.1*(CONSIP!$D$102+CONSIP!$G$61*'Prezzi servizi "smart"'!$I$17),0)</f>
        <v>0</v>
      </c>
      <c r="L130" s="142">
        <f>$G$105+$G$106+$G$109+IF($G$60&gt;0,0.1*($H$60+$G$60*'Prezzi servizi "smart"'!$I$12),0)+IF(CONSIP!$G$61&gt;0,0.1*(CONSIP!$D$102+CONSIP!$G$61*'Prezzi servizi "smart"'!$I$17),0)</f>
        <v>0</v>
      </c>
      <c r="M130" s="142">
        <f>$G$105+$G$106+$G$109+IF($G$60&gt;0,0.1*($H$60+$G$60*'Prezzi servizi "smart"'!$I$12),0)+IF(CONSIP!$G$61&gt;0,0.1*(CONSIP!$D$102+CONSIP!$G$61*'Prezzi servizi "smart"'!$I$17),0)</f>
        <v>0</v>
      </c>
      <c r="N130" s="145"/>
      <c r="O130" s="145"/>
      <c r="P130" s="145"/>
      <c r="Q130" s="145"/>
      <c r="R130" s="145"/>
      <c r="S130" s="145"/>
      <c r="T130" s="145"/>
      <c r="U130" s="142"/>
    </row>
    <row r="131" spans="3:24" ht="16" thickBot="1" x14ac:dyDescent="0.25">
      <c r="C131" s="72" t="s">
        <v>169</v>
      </c>
      <c r="D131" s="142">
        <f>D129/(1+$D$120)^D128</f>
        <v>0</v>
      </c>
      <c r="E131" s="142">
        <f t="shared" ref="E131:M131" si="2">E130/(1+$D$120)^E128</f>
        <v>0</v>
      </c>
      <c r="F131" s="142">
        <f t="shared" si="2"/>
        <v>0</v>
      </c>
      <c r="G131" s="142">
        <f t="shared" si="2"/>
        <v>0</v>
      </c>
      <c r="H131" s="142">
        <f t="shared" si="2"/>
        <v>0</v>
      </c>
      <c r="I131" s="142">
        <f t="shared" si="2"/>
        <v>0</v>
      </c>
      <c r="J131" s="142">
        <f t="shared" si="2"/>
        <v>0</v>
      </c>
      <c r="K131" s="142">
        <f t="shared" si="2"/>
        <v>0</v>
      </c>
      <c r="L131" s="142">
        <f t="shared" si="2"/>
        <v>0</v>
      </c>
      <c r="M131" s="142">
        <f t="shared" si="2"/>
        <v>0</v>
      </c>
      <c r="N131" s="145"/>
      <c r="O131" s="145"/>
      <c r="P131" s="145"/>
      <c r="Q131" s="145"/>
      <c r="R131" s="145"/>
      <c r="S131" s="145"/>
      <c r="T131" s="18"/>
    </row>
    <row r="132" spans="3:24" ht="16" thickBot="1" x14ac:dyDescent="0.25">
      <c r="C132" s="25" t="s">
        <v>348</v>
      </c>
      <c r="D132" s="163">
        <f>SUM(D131:M131)</f>
        <v>0</v>
      </c>
      <c r="E132" s="72" t="s">
        <v>352</v>
      </c>
      <c r="N132" s="18"/>
      <c r="O132" s="18"/>
      <c r="P132" s="18"/>
      <c r="Q132" s="18"/>
      <c r="R132" s="18"/>
      <c r="S132" s="18"/>
      <c r="T132" s="18"/>
    </row>
    <row r="133" spans="3:24" ht="16" thickBot="1" x14ac:dyDescent="0.25">
      <c r="N133" s="18"/>
      <c r="O133" s="18"/>
      <c r="P133" s="18"/>
      <c r="Q133" s="18"/>
      <c r="R133" s="18"/>
      <c r="S133" s="18"/>
      <c r="T133" s="18"/>
    </row>
    <row r="134" spans="3:24" ht="16" thickBot="1" x14ac:dyDescent="0.25">
      <c r="C134" s="149" t="s">
        <v>174</v>
      </c>
      <c r="D134" s="155"/>
      <c r="E134" s="72" t="s">
        <v>353</v>
      </c>
      <c r="F134" s="25" t="s">
        <v>176</v>
      </c>
      <c r="G134" s="174"/>
      <c r="N134" s="18"/>
      <c r="O134" s="18"/>
      <c r="P134" s="18"/>
      <c r="Q134" s="18"/>
      <c r="R134" s="18"/>
      <c r="S134" s="18"/>
      <c r="T134" s="18"/>
    </row>
    <row r="135" spans="3:24" ht="16" thickBot="1" x14ac:dyDescent="0.25">
      <c r="C135" s="150" t="s">
        <v>157</v>
      </c>
      <c r="D135" s="151" t="e">
        <f>D134/D71</f>
        <v>#DIV/0!</v>
      </c>
      <c r="N135" s="18"/>
      <c r="O135" s="18"/>
      <c r="P135" s="18"/>
      <c r="Q135" s="18"/>
      <c r="R135" s="18"/>
      <c r="S135" s="18"/>
      <c r="T135" s="18"/>
    </row>
    <row r="136" spans="3:24" x14ac:dyDescent="0.2">
      <c r="N136" s="18"/>
      <c r="O136" s="18"/>
      <c r="P136" s="18"/>
      <c r="Q136" s="18"/>
      <c r="R136" s="18"/>
      <c r="S136" s="18"/>
      <c r="T136" s="18"/>
    </row>
    <row r="137" spans="3:24" x14ac:dyDescent="0.2">
      <c r="C137" s="5" t="s">
        <v>2</v>
      </c>
      <c r="D137" s="6">
        <v>0</v>
      </c>
      <c r="E137" s="6">
        <v>1</v>
      </c>
      <c r="F137" s="6">
        <v>2</v>
      </c>
      <c r="G137" s="6">
        <v>3</v>
      </c>
      <c r="H137" s="6">
        <v>4</v>
      </c>
      <c r="I137" s="6">
        <v>5</v>
      </c>
      <c r="J137" s="6">
        <v>6</v>
      </c>
      <c r="K137" s="6">
        <v>7</v>
      </c>
      <c r="L137" s="6">
        <v>8</v>
      </c>
      <c r="M137" s="6">
        <v>9</v>
      </c>
      <c r="N137" s="132"/>
      <c r="O137" s="132"/>
      <c r="P137" s="132"/>
      <c r="Q137" s="132"/>
      <c r="R137" s="132"/>
      <c r="S137" s="132"/>
      <c r="T137" s="18"/>
    </row>
    <row r="138" spans="3:24" x14ac:dyDescent="0.2">
      <c r="C138" s="72" t="s">
        <v>156</v>
      </c>
      <c r="D138" s="143"/>
      <c r="E138" s="143">
        <f t="shared" ref="E138:M138" si="3">$D$134</f>
        <v>0</v>
      </c>
      <c r="F138" s="143">
        <f t="shared" si="3"/>
        <v>0</v>
      </c>
      <c r="G138" s="143">
        <f t="shared" si="3"/>
        <v>0</v>
      </c>
      <c r="H138" s="143">
        <f t="shared" si="3"/>
        <v>0</v>
      </c>
      <c r="I138" s="143">
        <f t="shared" si="3"/>
        <v>0</v>
      </c>
      <c r="J138" s="143">
        <f t="shared" si="3"/>
        <v>0</v>
      </c>
      <c r="K138" s="143">
        <f t="shared" si="3"/>
        <v>0</v>
      </c>
      <c r="L138" s="143">
        <f t="shared" si="3"/>
        <v>0</v>
      </c>
      <c r="M138" s="143">
        <f t="shared" si="3"/>
        <v>0</v>
      </c>
      <c r="N138" s="156"/>
      <c r="O138" s="156"/>
      <c r="P138" s="156"/>
      <c r="Q138" s="156"/>
      <c r="R138" s="156"/>
      <c r="S138" s="156"/>
      <c r="T138" s="18"/>
    </row>
    <row r="139" spans="3:24" x14ac:dyDescent="0.2">
      <c r="C139" s="72" t="s">
        <v>170</v>
      </c>
      <c r="E139" s="142">
        <f t="shared" ref="E139:M139" si="4">E138/(1+$D$120)^E137</f>
        <v>0</v>
      </c>
      <c r="F139" s="142">
        <f t="shared" si="4"/>
        <v>0</v>
      </c>
      <c r="G139" s="142">
        <f t="shared" si="4"/>
        <v>0</v>
      </c>
      <c r="H139" s="142">
        <f t="shared" si="4"/>
        <v>0</v>
      </c>
      <c r="I139" s="142">
        <f t="shared" si="4"/>
        <v>0</v>
      </c>
      <c r="J139" s="142">
        <f t="shared" si="4"/>
        <v>0</v>
      </c>
      <c r="K139" s="142">
        <f t="shared" si="4"/>
        <v>0</v>
      </c>
      <c r="L139" s="142">
        <f t="shared" si="4"/>
        <v>0</v>
      </c>
      <c r="M139" s="142">
        <f t="shared" si="4"/>
        <v>0</v>
      </c>
      <c r="N139" s="145"/>
      <c r="O139" s="145"/>
      <c r="P139" s="145"/>
      <c r="Q139" s="145"/>
      <c r="R139" s="145"/>
      <c r="S139" s="145"/>
      <c r="T139" s="18"/>
    </row>
    <row r="140" spans="3:24" ht="16" thickBot="1" x14ac:dyDescent="0.25">
      <c r="N140" s="18"/>
      <c r="O140" s="18"/>
      <c r="P140" s="18"/>
      <c r="Q140" s="18"/>
      <c r="R140" s="18"/>
      <c r="S140" s="18"/>
      <c r="T140" s="18"/>
    </row>
    <row r="141" spans="3:24" ht="16" thickBot="1" x14ac:dyDescent="0.25">
      <c r="C141" s="25" t="s">
        <v>347</v>
      </c>
      <c r="D141" s="158">
        <f>SUM(E139:M139)</f>
        <v>0</v>
      </c>
      <c r="E141" s="72" t="s">
        <v>354</v>
      </c>
      <c r="N141" s="18"/>
      <c r="O141" s="18"/>
      <c r="P141" s="18"/>
      <c r="Q141" s="18"/>
      <c r="R141" s="18"/>
      <c r="S141" s="18"/>
      <c r="T141" s="18"/>
    </row>
    <row r="142" spans="3:24" x14ac:dyDescent="0.2">
      <c r="N142" s="18"/>
      <c r="O142" s="18"/>
      <c r="P142" s="18"/>
      <c r="Q142" s="18"/>
      <c r="R142" s="18"/>
      <c r="S142" s="18"/>
      <c r="T142" s="18"/>
    </row>
    <row r="143" spans="3:24" x14ac:dyDescent="0.2">
      <c r="N143" s="18"/>
      <c r="O143" s="18"/>
      <c r="P143" s="18"/>
      <c r="Q143" s="18"/>
      <c r="R143" s="18"/>
      <c r="S143" s="18"/>
      <c r="T143" s="18"/>
    </row>
    <row r="144" spans="3:24" x14ac:dyDescent="0.2">
      <c r="N144" s="18"/>
      <c r="O144" s="18"/>
      <c r="P144" s="18"/>
      <c r="Q144" s="18"/>
      <c r="R144" s="18"/>
      <c r="S144" s="18"/>
      <c r="T144" s="18"/>
      <c r="U144" s="132"/>
      <c r="V144" s="18"/>
      <c r="W144" s="18"/>
      <c r="X144" s="18"/>
    </row>
    <row r="145" spans="3:25" x14ac:dyDescent="0.2">
      <c r="C145" s="5" t="s">
        <v>2</v>
      </c>
      <c r="D145" s="6">
        <v>0</v>
      </c>
      <c r="E145" s="6">
        <v>1</v>
      </c>
      <c r="F145" s="6">
        <v>2</v>
      </c>
      <c r="G145" s="6">
        <v>3</v>
      </c>
      <c r="H145" s="6">
        <v>4</v>
      </c>
      <c r="I145" s="6">
        <v>5</v>
      </c>
      <c r="J145" s="6">
        <v>6</v>
      </c>
      <c r="K145" s="6">
        <v>7</v>
      </c>
      <c r="L145" s="6">
        <v>8</v>
      </c>
      <c r="M145" s="6">
        <v>9</v>
      </c>
      <c r="N145" s="132"/>
      <c r="O145" s="132"/>
      <c r="P145" s="132"/>
      <c r="Q145" s="132"/>
      <c r="R145" s="132"/>
      <c r="S145" s="132"/>
      <c r="T145" s="132"/>
      <c r="U145" s="132"/>
      <c r="V145" s="132"/>
      <c r="W145" s="132"/>
      <c r="X145" s="132"/>
    </row>
    <row r="146" spans="3:25" x14ac:dyDescent="0.2">
      <c r="C146" s="7" t="s">
        <v>3</v>
      </c>
      <c r="D146" s="8"/>
      <c r="E146" s="8"/>
      <c r="F146" s="8"/>
      <c r="G146" s="8"/>
      <c r="H146" s="8"/>
      <c r="I146" s="8"/>
      <c r="J146" s="8"/>
      <c r="K146" s="8"/>
      <c r="L146" s="8"/>
      <c r="M146" s="8"/>
      <c r="N146" s="18"/>
      <c r="O146" s="18"/>
      <c r="P146" s="18"/>
      <c r="Q146" s="18"/>
      <c r="R146" s="18"/>
      <c r="S146" s="18"/>
      <c r="T146" s="18"/>
      <c r="U146" s="18"/>
      <c r="V146" s="18"/>
      <c r="W146" s="18"/>
      <c r="X146" s="18"/>
    </row>
    <row r="147" spans="3:25" x14ac:dyDescent="0.2">
      <c r="C147" s="9" t="s">
        <v>134</v>
      </c>
      <c r="D147" s="173">
        <f>-D109</f>
        <v>0</v>
      </c>
      <c r="E147" s="10"/>
      <c r="F147" s="10"/>
      <c r="G147" s="10"/>
      <c r="H147" s="10"/>
      <c r="I147" s="10"/>
      <c r="J147" s="10"/>
      <c r="K147" s="10"/>
      <c r="L147" s="10"/>
      <c r="M147" s="10"/>
      <c r="N147" s="18"/>
      <c r="O147" s="18"/>
      <c r="P147" s="18"/>
      <c r="Q147" s="18"/>
      <c r="R147" s="18"/>
      <c r="S147" s="18"/>
      <c r="T147" s="18"/>
      <c r="U147" s="18"/>
      <c r="V147" s="18"/>
      <c r="W147" s="18"/>
      <c r="X147" s="18"/>
    </row>
    <row r="148" spans="3:25" x14ac:dyDescent="0.2">
      <c r="C148" s="7" t="s">
        <v>4</v>
      </c>
      <c r="D148" s="8"/>
      <c r="E148" s="8"/>
      <c r="F148" s="8"/>
      <c r="G148" s="8"/>
      <c r="H148" s="8"/>
      <c r="I148" s="8"/>
      <c r="J148" s="8"/>
      <c r="K148" s="8"/>
      <c r="L148" s="8"/>
      <c r="M148" s="8"/>
      <c r="N148" s="18"/>
      <c r="O148" s="18"/>
      <c r="P148" s="18"/>
      <c r="Q148" s="18"/>
      <c r="R148" s="18"/>
      <c r="S148" s="18"/>
      <c r="T148" s="18"/>
      <c r="U148" s="18"/>
      <c r="V148" s="18"/>
      <c r="W148" s="18"/>
      <c r="X148" s="18"/>
    </row>
    <row r="149" spans="3:25" s="101" customFormat="1" x14ac:dyDescent="0.2">
      <c r="C149" s="105" t="s">
        <v>156</v>
      </c>
      <c r="D149" s="106"/>
      <c r="E149" s="106">
        <f>$G$134</f>
        <v>0</v>
      </c>
      <c r="F149" s="106">
        <f t="shared" ref="F149:M149" si="5">$G$134</f>
        <v>0</v>
      </c>
      <c r="G149" s="106">
        <f t="shared" si="5"/>
        <v>0</v>
      </c>
      <c r="H149" s="106">
        <f t="shared" si="5"/>
        <v>0</v>
      </c>
      <c r="I149" s="106">
        <f t="shared" si="5"/>
        <v>0</v>
      </c>
      <c r="J149" s="106">
        <f t="shared" si="5"/>
        <v>0</v>
      </c>
      <c r="K149" s="106">
        <f t="shared" si="5"/>
        <v>0</v>
      </c>
      <c r="L149" s="106">
        <f t="shared" si="5"/>
        <v>0</v>
      </c>
      <c r="M149" s="106">
        <f t="shared" si="5"/>
        <v>0</v>
      </c>
      <c r="N149" s="140"/>
      <c r="O149" s="140"/>
      <c r="P149" s="140"/>
      <c r="Q149" s="140"/>
      <c r="R149" s="140"/>
      <c r="S149" s="140"/>
      <c r="T149" s="140"/>
      <c r="U149" s="140"/>
      <c r="V149" s="140"/>
      <c r="W149" s="140"/>
      <c r="X149" s="140"/>
    </row>
    <row r="150" spans="3:25" s="101" customFormat="1" x14ac:dyDescent="0.2">
      <c r="C150" s="109" t="s">
        <v>5</v>
      </c>
      <c r="D150" s="110"/>
      <c r="E150" s="111">
        <f t="shared" ref="E150:M150" si="6">SUM(E149:E149)</f>
        <v>0</v>
      </c>
      <c r="F150" s="111">
        <f t="shared" si="6"/>
        <v>0</v>
      </c>
      <c r="G150" s="111">
        <f t="shared" si="6"/>
        <v>0</v>
      </c>
      <c r="H150" s="111">
        <f t="shared" si="6"/>
        <v>0</v>
      </c>
      <c r="I150" s="111">
        <f t="shared" si="6"/>
        <v>0</v>
      </c>
      <c r="J150" s="111">
        <f t="shared" si="6"/>
        <v>0</v>
      </c>
      <c r="K150" s="111">
        <f t="shared" si="6"/>
        <v>0</v>
      </c>
      <c r="L150" s="111">
        <f t="shared" si="6"/>
        <v>0</v>
      </c>
      <c r="M150" s="111">
        <f t="shared" si="6"/>
        <v>0</v>
      </c>
      <c r="N150" s="141"/>
      <c r="O150" s="141"/>
      <c r="P150" s="141"/>
      <c r="Q150" s="141"/>
      <c r="R150" s="141"/>
      <c r="S150" s="141"/>
      <c r="T150" s="140"/>
      <c r="U150" s="140"/>
      <c r="V150" s="140"/>
      <c r="W150" s="140"/>
      <c r="X150" s="140"/>
    </row>
    <row r="151" spans="3:25" s="101" customFormat="1" x14ac:dyDescent="0.2">
      <c r="C151" s="7" t="s">
        <v>6</v>
      </c>
      <c r="D151" s="8"/>
      <c r="E151" s="8"/>
      <c r="F151" s="8"/>
      <c r="G151" s="8"/>
      <c r="H151" s="8"/>
      <c r="I151" s="8"/>
      <c r="J151" s="8"/>
      <c r="K151" s="8"/>
      <c r="L151" s="8"/>
      <c r="M151" s="8"/>
      <c r="N151" s="18"/>
      <c r="O151" s="18"/>
      <c r="P151" s="18"/>
      <c r="Q151" s="18"/>
      <c r="R151" s="18"/>
      <c r="S151" s="18"/>
      <c r="T151" s="141"/>
      <c r="U151" s="141"/>
      <c r="V151" s="141"/>
      <c r="W151" s="141"/>
      <c r="X151" s="141"/>
      <c r="Y151" s="108"/>
    </row>
    <row r="152" spans="3:25" x14ac:dyDescent="0.2">
      <c r="C152" s="107" t="s">
        <v>270</v>
      </c>
      <c r="E152" s="152">
        <f>-IF($G$60&gt;0,0.1*($H$60+$G$60*'Prezzi servizi "smart"'!$I$12),0)-IF(CONSIP!$G$61&gt;0,0.1*(CONSIP!$D$102+CONSIP!$G$61*'Prezzi servizi "smart"'!$I$17),0)</f>
        <v>0</v>
      </c>
      <c r="F152" s="152">
        <f>-IF($G$60&gt;0,0.1*($H$60+$G$60*'Prezzi servizi "smart"'!$I$12),0)-IF(CONSIP!$G$61&gt;0,0.1*(CONSIP!$D$102+CONSIP!$G$61*'Prezzi servizi "smart"'!$I$17),0)</f>
        <v>0</v>
      </c>
      <c r="G152" s="152">
        <f>-IF($G$60&gt;0,0.1*($H$60+$G$60*'Prezzi servizi "smart"'!$I$12),0)-IF(CONSIP!$G$61&gt;0,0.1*(CONSIP!$D$102+CONSIP!$G$61*'Prezzi servizi "smart"'!$I$17),0)</f>
        <v>0</v>
      </c>
      <c r="H152" s="152">
        <f>-IF($G$60&gt;0,0.1*($H$60+$G$60*'Prezzi servizi "smart"'!$I$12),0)-IF(CONSIP!$G$61&gt;0,0.1*(CONSIP!$D$102+CONSIP!$G$61*'Prezzi servizi "smart"'!$I$17),0)</f>
        <v>0</v>
      </c>
      <c r="I152" s="152">
        <f>-IF($G$60&gt;0,0.1*($H$60+$G$60*'Prezzi servizi "smart"'!$I$12),0)-IF(CONSIP!$G$61&gt;0,0.1*(CONSIP!$D$102+CONSIP!$G$61*'Prezzi servizi "smart"'!$I$17),0)</f>
        <v>0</v>
      </c>
      <c r="J152" s="152">
        <f>-IF($G$60&gt;0,0.1*($H$60+$G$60*'Prezzi servizi "smart"'!$I$12),0)-IF(CONSIP!$G$61&gt;0,0.1*(CONSIP!$D$102+CONSIP!$G$61*'Prezzi servizi "smart"'!$I$17),0)</f>
        <v>0</v>
      </c>
      <c r="K152" s="152">
        <f>-IF($G$60&gt;0,0.1*($H$60+$G$60*'Prezzi servizi "smart"'!$I$12),0)-IF(CONSIP!$G$61&gt;0,0.1*(CONSIP!$D$102+CONSIP!$G$61*'Prezzi servizi "smart"'!$I$17),0)</f>
        <v>0</v>
      </c>
      <c r="L152" s="152">
        <f>-IF($G$60&gt;0,0.1*($H$60+$G$60*'Prezzi servizi "smart"'!$I$12),0)-IF(CONSIP!$G$61&gt;0,0.1*(CONSIP!$D$102+CONSIP!$G$61*'Prezzi servizi "smart"'!$I$17),0)</f>
        <v>0</v>
      </c>
      <c r="M152" s="152">
        <f>-IF($G$60&gt;0,0.1*($H$60+$G$60*'Prezzi servizi "smart"'!$I$12),0)-IF(CONSIP!$G$61&gt;0,0.1*(CONSIP!$D$102+CONSIP!$G$61*'Prezzi servizi "smart"'!$I$17),0)</f>
        <v>0</v>
      </c>
      <c r="N152" s="140"/>
      <c r="O152" s="140"/>
      <c r="P152" s="140"/>
      <c r="Q152" s="140"/>
      <c r="R152" s="140"/>
      <c r="S152" s="140"/>
      <c r="T152" s="18"/>
      <c r="U152" s="18"/>
      <c r="V152" s="18"/>
      <c r="W152" s="18"/>
      <c r="X152" s="18"/>
      <c r="Y152" s="12"/>
    </row>
    <row r="153" spans="3:25" s="101" customFormat="1" x14ac:dyDescent="0.2">
      <c r="C153" s="107" t="s">
        <v>124</v>
      </c>
      <c r="D153" s="108"/>
      <c r="E153" s="108">
        <f t="shared" ref="E153:M153" si="7">$G$105+$G$106</f>
        <v>0</v>
      </c>
      <c r="F153" s="108">
        <f t="shared" si="7"/>
        <v>0</v>
      </c>
      <c r="G153" s="108">
        <f t="shared" si="7"/>
        <v>0</v>
      </c>
      <c r="H153" s="108">
        <f t="shared" si="7"/>
        <v>0</v>
      </c>
      <c r="I153" s="108">
        <f t="shared" si="7"/>
        <v>0</v>
      </c>
      <c r="J153" s="108">
        <f t="shared" si="7"/>
        <v>0</v>
      </c>
      <c r="K153" s="108">
        <f t="shared" si="7"/>
        <v>0</v>
      </c>
      <c r="L153" s="108">
        <f t="shared" si="7"/>
        <v>0</v>
      </c>
      <c r="M153" s="108">
        <f t="shared" si="7"/>
        <v>0</v>
      </c>
      <c r="N153" s="156"/>
      <c r="O153" s="156"/>
      <c r="P153" s="156"/>
      <c r="Q153" s="156"/>
      <c r="R153" s="156"/>
      <c r="S153" s="156"/>
      <c r="T153" s="140"/>
      <c r="U153" s="140"/>
      <c r="V153" s="140"/>
      <c r="W153" s="140"/>
      <c r="X153" s="140"/>
      <c r="Y153" s="108"/>
    </row>
    <row r="154" spans="3:25" s="101" customFormat="1" x14ac:dyDescent="0.2">
      <c r="C154" s="107" t="s">
        <v>128</v>
      </c>
      <c r="D154" s="108"/>
      <c r="E154" s="139">
        <f t="shared" ref="E154:M154" si="8">$G$109</f>
        <v>0</v>
      </c>
      <c r="F154" s="139">
        <f t="shared" si="8"/>
        <v>0</v>
      </c>
      <c r="G154" s="139">
        <f t="shared" si="8"/>
        <v>0</v>
      </c>
      <c r="H154" s="139">
        <f t="shared" si="8"/>
        <v>0</v>
      </c>
      <c r="I154" s="139">
        <f t="shared" si="8"/>
        <v>0</v>
      </c>
      <c r="J154" s="139">
        <f t="shared" si="8"/>
        <v>0</v>
      </c>
      <c r="K154" s="139">
        <f t="shared" si="8"/>
        <v>0</v>
      </c>
      <c r="L154" s="139">
        <f t="shared" si="8"/>
        <v>0</v>
      </c>
      <c r="M154" s="139">
        <f t="shared" si="8"/>
        <v>0</v>
      </c>
      <c r="N154" s="141"/>
      <c r="O154" s="141"/>
      <c r="P154" s="141"/>
      <c r="Q154" s="141"/>
      <c r="R154" s="141"/>
      <c r="S154" s="141"/>
      <c r="T154" s="140"/>
      <c r="U154" s="140"/>
      <c r="V154" s="140"/>
      <c r="W154" s="140"/>
      <c r="X154" s="140"/>
      <c r="Y154" s="108"/>
    </row>
    <row r="155" spans="3:25" s="101" customFormat="1" x14ac:dyDescent="0.2">
      <c r="C155" s="109" t="s">
        <v>7</v>
      </c>
      <c r="D155" s="110"/>
      <c r="E155" s="111">
        <f t="shared" ref="E155:M155" si="9">SUM(E153:E154)</f>
        <v>0</v>
      </c>
      <c r="F155" s="111">
        <f t="shared" si="9"/>
        <v>0</v>
      </c>
      <c r="G155" s="111">
        <f t="shared" si="9"/>
        <v>0</v>
      </c>
      <c r="H155" s="111">
        <f t="shared" si="9"/>
        <v>0</v>
      </c>
      <c r="I155" s="111">
        <f t="shared" si="9"/>
        <v>0</v>
      </c>
      <c r="J155" s="111">
        <f t="shared" si="9"/>
        <v>0</v>
      </c>
      <c r="K155" s="111">
        <f t="shared" si="9"/>
        <v>0</v>
      </c>
      <c r="L155" s="111">
        <f t="shared" si="9"/>
        <v>0</v>
      </c>
      <c r="M155" s="111">
        <f t="shared" si="9"/>
        <v>0</v>
      </c>
      <c r="N155" s="18"/>
      <c r="O155" s="18"/>
      <c r="P155" s="18"/>
      <c r="Q155" s="18"/>
      <c r="R155" s="18"/>
      <c r="S155" s="18"/>
      <c r="T155" s="140"/>
      <c r="U155" s="140"/>
      <c r="V155" s="140"/>
      <c r="W155" s="140"/>
      <c r="X155" s="140"/>
      <c r="Y155" s="108"/>
    </row>
    <row r="156" spans="3:25" s="101" customFormat="1" x14ac:dyDescent="0.2">
      <c r="C156" s="7" t="s">
        <v>8</v>
      </c>
      <c r="D156" s="8"/>
      <c r="E156" s="8"/>
      <c r="F156" s="8"/>
      <c r="G156" s="8"/>
      <c r="H156" s="8"/>
      <c r="I156" s="8"/>
      <c r="J156" s="8"/>
      <c r="K156" s="8"/>
      <c r="L156" s="8"/>
      <c r="M156" s="8"/>
      <c r="N156" s="140"/>
      <c r="O156" s="140"/>
      <c r="P156" s="140"/>
      <c r="Q156" s="140"/>
      <c r="R156" s="140"/>
      <c r="S156" s="140"/>
      <c r="T156" s="141"/>
      <c r="U156" s="141"/>
      <c r="V156" s="141"/>
      <c r="W156" s="141"/>
      <c r="X156" s="141"/>
      <c r="Y156" s="108"/>
    </row>
    <row r="157" spans="3:25" x14ac:dyDescent="0.2">
      <c r="C157" s="105" t="s">
        <v>9</v>
      </c>
      <c r="D157" s="106"/>
      <c r="E157" s="106">
        <f t="shared" ref="E157:M157" si="10">$D$109/$D$110</f>
        <v>0</v>
      </c>
      <c r="F157" s="106">
        <f t="shared" si="10"/>
        <v>0</v>
      </c>
      <c r="G157" s="106">
        <f t="shared" si="10"/>
        <v>0</v>
      </c>
      <c r="H157" s="106">
        <f t="shared" si="10"/>
        <v>0</v>
      </c>
      <c r="I157" s="106">
        <f t="shared" si="10"/>
        <v>0</v>
      </c>
      <c r="J157" s="106">
        <f t="shared" si="10"/>
        <v>0</v>
      </c>
      <c r="K157" s="106">
        <f t="shared" si="10"/>
        <v>0</v>
      </c>
      <c r="L157" s="106">
        <f t="shared" si="10"/>
        <v>0</v>
      </c>
      <c r="M157" s="106">
        <f t="shared" si="10"/>
        <v>0</v>
      </c>
      <c r="N157" s="140"/>
      <c r="O157" s="140"/>
      <c r="P157" s="140"/>
      <c r="Q157" s="140"/>
      <c r="R157" s="140"/>
      <c r="S157" s="140"/>
      <c r="T157" s="18"/>
      <c r="U157" s="18"/>
      <c r="V157" s="18"/>
      <c r="W157" s="18"/>
      <c r="X157" s="18"/>
      <c r="Y157" s="12"/>
    </row>
    <row r="158" spans="3:25" s="101" customFormat="1" x14ac:dyDescent="0.2">
      <c r="C158" s="107" t="s">
        <v>10</v>
      </c>
      <c r="D158" s="108"/>
      <c r="E158" s="108">
        <f t="shared" ref="E158:M158" si="11">E150-E155-E157</f>
        <v>0</v>
      </c>
      <c r="F158" s="108">
        <f t="shared" si="11"/>
        <v>0</v>
      </c>
      <c r="G158" s="108">
        <f t="shared" si="11"/>
        <v>0</v>
      </c>
      <c r="H158" s="108">
        <f t="shared" si="11"/>
        <v>0</v>
      </c>
      <c r="I158" s="108">
        <f t="shared" si="11"/>
        <v>0</v>
      </c>
      <c r="J158" s="108">
        <f t="shared" si="11"/>
        <v>0</v>
      </c>
      <c r="K158" s="108">
        <f t="shared" si="11"/>
        <v>0</v>
      </c>
      <c r="L158" s="108">
        <f t="shared" si="11"/>
        <v>0</v>
      </c>
      <c r="M158" s="108">
        <f t="shared" si="11"/>
        <v>0</v>
      </c>
      <c r="N158" s="141"/>
      <c r="O158" s="141"/>
      <c r="P158" s="141"/>
      <c r="Q158" s="141"/>
      <c r="R158" s="141"/>
      <c r="S158" s="141"/>
      <c r="T158" s="140"/>
      <c r="U158" s="140"/>
      <c r="V158" s="140"/>
      <c r="W158" s="140"/>
      <c r="X158" s="140"/>
      <c r="Y158" s="108"/>
    </row>
    <row r="159" spans="3:25" s="101" customFormat="1" x14ac:dyDescent="0.2">
      <c r="C159" s="109" t="s">
        <v>11</v>
      </c>
      <c r="D159" s="110"/>
      <c r="E159" s="111">
        <f t="shared" ref="E159:M159" si="12">E158*$D$114</f>
        <v>0</v>
      </c>
      <c r="F159" s="111">
        <f t="shared" si="12"/>
        <v>0</v>
      </c>
      <c r="G159" s="111">
        <f t="shared" si="12"/>
        <v>0</v>
      </c>
      <c r="H159" s="111">
        <f t="shared" si="12"/>
        <v>0</v>
      </c>
      <c r="I159" s="111">
        <f t="shared" si="12"/>
        <v>0</v>
      </c>
      <c r="J159" s="111">
        <f t="shared" si="12"/>
        <v>0</v>
      </c>
      <c r="K159" s="111">
        <f t="shared" si="12"/>
        <v>0</v>
      </c>
      <c r="L159" s="111">
        <f t="shared" si="12"/>
        <v>0</v>
      </c>
      <c r="M159" s="111">
        <f t="shared" si="12"/>
        <v>0</v>
      </c>
      <c r="N159" s="18"/>
      <c r="O159" s="18"/>
      <c r="P159" s="18"/>
      <c r="Q159" s="18"/>
      <c r="R159" s="18"/>
      <c r="S159" s="18"/>
      <c r="T159" s="140"/>
      <c r="U159" s="140"/>
      <c r="V159" s="140"/>
      <c r="W159" s="140"/>
      <c r="X159" s="140"/>
      <c r="Y159" s="108"/>
    </row>
    <row r="160" spans="3:25" s="101" customFormat="1" x14ac:dyDescent="0.2">
      <c r="C160" s="7" t="s">
        <v>12</v>
      </c>
      <c r="D160" s="8"/>
      <c r="E160" s="8"/>
      <c r="F160" s="8"/>
      <c r="G160" s="8"/>
      <c r="H160" s="8"/>
      <c r="I160" s="8"/>
      <c r="J160" s="8"/>
      <c r="K160" s="8"/>
      <c r="L160" s="8"/>
      <c r="M160" s="8"/>
      <c r="N160" s="140"/>
      <c r="O160" s="140"/>
      <c r="P160" s="140"/>
      <c r="Q160" s="140"/>
      <c r="R160" s="140"/>
      <c r="S160" s="140"/>
      <c r="T160" s="141"/>
      <c r="U160" s="141"/>
      <c r="V160" s="141"/>
      <c r="W160" s="141"/>
      <c r="X160" s="141"/>
      <c r="Y160" s="108"/>
    </row>
    <row r="161" spans="3:24" x14ac:dyDescent="0.2">
      <c r="C161" s="105" t="s">
        <v>12</v>
      </c>
      <c r="D161" s="106">
        <f>D147</f>
        <v>0</v>
      </c>
      <c r="E161" s="106">
        <f t="shared" ref="E161:M161" si="13">E150-E155-E159</f>
        <v>0</v>
      </c>
      <c r="F161" s="106">
        <f t="shared" si="13"/>
        <v>0</v>
      </c>
      <c r="G161" s="106">
        <f t="shared" si="13"/>
        <v>0</v>
      </c>
      <c r="H161" s="106">
        <f t="shared" si="13"/>
        <v>0</v>
      </c>
      <c r="I161" s="106">
        <f t="shared" si="13"/>
        <v>0</v>
      </c>
      <c r="J161" s="106">
        <f t="shared" si="13"/>
        <v>0</v>
      </c>
      <c r="K161" s="106">
        <f t="shared" si="13"/>
        <v>0</v>
      </c>
      <c r="L161" s="106">
        <f t="shared" si="13"/>
        <v>0</v>
      </c>
      <c r="M161" s="106">
        <f t="shared" si="13"/>
        <v>0</v>
      </c>
      <c r="N161" s="140"/>
      <c r="O161" s="140"/>
      <c r="P161" s="140"/>
      <c r="Q161" s="140"/>
      <c r="R161" s="140"/>
      <c r="S161" s="140"/>
      <c r="T161" s="18"/>
      <c r="U161" s="18"/>
      <c r="V161" s="18"/>
      <c r="W161" s="18"/>
      <c r="X161" s="18"/>
    </row>
    <row r="162" spans="3:24" s="101" customFormat="1" x14ac:dyDescent="0.2">
      <c r="C162" s="107" t="s">
        <v>13</v>
      </c>
      <c r="D162" s="108">
        <f t="shared" ref="D162:M162" si="14">D161/(1+$D$122)^D145</f>
        <v>0</v>
      </c>
      <c r="E162" s="108">
        <f t="shared" si="14"/>
        <v>0</v>
      </c>
      <c r="F162" s="108">
        <f t="shared" si="14"/>
        <v>0</v>
      </c>
      <c r="G162" s="108">
        <f t="shared" si="14"/>
        <v>0</v>
      </c>
      <c r="H162" s="108">
        <f t="shared" si="14"/>
        <v>0</v>
      </c>
      <c r="I162" s="108">
        <f t="shared" si="14"/>
        <v>0</v>
      </c>
      <c r="J162" s="108">
        <f t="shared" si="14"/>
        <v>0</v>
      </c>
      <c r="K162" s="108">
        <f t="shared" si="14"/>
        <v>0</v>
      </c>
      <c r="L162" s="108">
        <f t="shared" si="14"/>
        <v>0</v>
      </c>
      <c r="M162" s="108">
        <f t="shared" si="14"/>
        <v>0</v>
      </c>
      <c r="N162" s="141"/>
      <c r="O162" s="141"/>
      <c r="P162" s="141"/>
      <c r="Q162" s="141"/>
      <c r="R162" s="141"/>
      <c r="S162" s="141"/>
      <c r="T162" s="140"/>
      <c r="U162" s="140"/>
      <c r="V162" s="140"/>
      <c r="W162" s="140"/>
      <c r="X162" s="140"/>
    </row>
    <row r="163" spans="3:24" s="101" customFormat="1" x14ac:dyDescent="0.2">
      <c r="C163" s="115" t="s">
        <v>181</v>
      </c>
      <c r="D163" s="112">
        <f>D162</f>
        <v>0</v>
      </c>
      <c r="E163" s="112">
        <f>D163+E162</f>
        <v>0</v>
      </c>
      <c r="F163" s="112">
        <f>E163+F162</f>
        <v>0</v>
      </c>
      <c r="G163" s="112">
        <f t="shared" ref="G163:M163" si="15">F163+G162</f>
        <v>0</v>
      </c>
      <c r="H163" s="112">
        <f t="shared" si="15"/>
        <v>0</v>
      </c>
      <c r="I163" s="112">
        <f t="shared" si="15"/>
        <v>0</v>
      </c>
      <c r="J163" s="112">
        <f t="shared" si="15"/>
        <v>0</v>
      </c>
      <c r="K163" s="112">
        <f t="shared" si="15"/>
        <v>0</v>
      </c>
      <c r="L163" s="112">
        <f t="shared" si="15"/>
        <v>0</v>
      </c>
      <c r="M163" s="112">
        <f t="shared" si="15"/>
        <v>0</v>
      </c>
      <c r="N163" s="18"/>
      <c r="O163" s="18"/>
      <c r="P163" s="18"/>
      <c r="Q163" s="18"/>
      <c r="R163" s="18"/>
      <c r="S163" s="18"/>
      <c r="T163" s="140"/>
      <c r="U163" s="140"/>
      <c r="V163" s="140"/>
      <c r="W163" s="140"/>
      <c r="X163" s="140"/>
    </row>
    <row r="164" spans="3:24" s="101" customFormat="1" x14ac:dyDescent="0.2">
      <c r="C164" s="14"/>
      <c r="D164" s="13"/>
      <c r="E164"/>
      <c r="F164"/>
      <c r="G164"/>
      <c r="H164"/>
      <c r="I164"/>
      <c r="J164"/>
      <c r="K164"/>
      <c r="L164"/>
      <c r="M164"/>
      <c r="N164" s="18"/>
      <c r="O164" s="18"/>
      <c r="P164" s="18"/>
      <c r="Q164" s="18"/>
      <c r="R164" s="18"/>
      <c r="S164" s="18"/>
      <c r="T164" s="141"/>
      <c r="U164" s="141"/>
      <c r="V164" s="141"/>
      <c r="W164" s="141"/>
      <c r="X164" s="141"/>
    </row>
    <row r="165" spans="3:24" x14ac:dyDescent="0.2">
      <c r="C165" s="146" t="s">
        <v>14</v>
      </c>
      <c r="D165" s="147"/>
      <c r="T165" s="18"/>
      <c r="U165" s="18"/>
      <c r="V165" s="18"/>
      <c r="W165" s="18"/>
      <c r="X165" s="18"/>
    </row>
    <row r="166" spans="3:24" x14ac:dyDescent="0.2">
      <c r="C166" s="15" t="s">
        <v>15</v>
      </c>
      <c r="D166" s="78">
        <f>SUM(D161:S161)</f>
        <v>0</v>
      </c>
    </row>
    <row r="167" spans="3:24" x14ac:dyDescent="0.2">
      <c r="C167" s="16" t="s">
        <v>16</v>
      </c>
      <c r="D167" s="2" t="e">
        <f>IRR(D160:S160)</f>
        <v>#NUM!</v>
      </c>
    </row>
    <row r="168" spans="3:24" x14ac:dyDescent="0.2">
      <c r="C168" s="11" t="s">
        <v>17</v>
      </c>
      <c r="D168" s="4">
        <f>IF(COUNTIF(D162:X162,"&lt;0")&lt;10,COUNTIF(D162:X162,"&lt;0"),"&gt;vu")</f>
        <v>0</v>
      </c>
    </row>
    <row r="179" spans="3:20" ht="16" thickBot="1" x14ac:dyDescent="0.25"/>
    <row r="180" spans="3:20" ht="16" thickBot="1" x14ac:dyDescent="0.25">
      <c r="C180" s="431" t="s">
        <v>279</v>
      </c>
      <c r="D180" s="432"/>
      <c r="E180" s="262" t="s">
        <v>119</v>
      </c>
    </row>
    <row r="182" spans="3:20" x14ac:dyDescent="0.2">
      <c r="C182" s="5" t="s">
        <v>2</v>
      </c>
      <c r="D182" s="6">
        <v>0</v>
      </c>
      <c r="E182" s="6">
        <v>1</v>
      </c>
      <c r="F182" s="6">
        <v>2</v>
      </c>
      <c r="G182" s="6">
        <v>3</v>
      </c>
      <c r="H182" s="6">
        <v>4</v>
      </c>
      <c r="I182" s="6">
        <v>5</v>
      </c>
      <c r="J182" s="6">
        <v>6</v>
      </c>
      <c r="K182" s="6">
        <v>7</v>
      </c>
      <c r="L182" s="6">
        <v>8</v>
      </c>
      <c r="M182" s="6">
        <v>9</v>
      </c>
      <c r="N182" s="132"/>
      <c r="O182" s="132"/>
      <c r="P182" s="132"/>
      <c r="Q182" s="132"/>
      <c r="R182" s="132"/>
      <c r="S182" s="132"/>
      <c r="T182" s="18"/>
    </row>
    <row r="183" spans="3:20" x14ac:dyDescent="0.2">
      <c r="C183" t="s">
        <v>171</v>
      </c>
      <c r="E183" s="152">
        <f>+($G$95-$G$94)*$G$93</f>
        <v>0</v>
      </c>
      <c r="F183" s="152">
        <f t="shared" ref="F183:M183" si="16">+($G$95-$G$94)*$G$93</f>
        <v>0</v>
      </c>
      <c r="G183" s="152">
        <f t="shared" si="16"/>
        <v>0</v>
      </c>
      <c r="H183" s="152">
        <f t="shared" si="16"/>
        <v>0</v>
      </c>
      <c r="I183" s="152">
        <f t="shared" si="16"/>
        <v>0</v>
      </c>
      <c r="J183" s="152">
        <f t="shared" si="16"/>
        <v>0</v>
      </c>
      <c r="K183" s="152">
        <f t="shared" si="16"/>
        <v>0</v>
      </c>
      <c r="L183" s="152">
        <f t="shared" si="16"/>
        <v>0</v>
      </c>
      <c r="M183" s="152">
        <f t="shared" si="16"/>
        <v>0</v>
      </c>
      <c r="N183" s="157"/>
      <c r="O183" s="157"/>
      <c r="P183" s="157"/>
      <c r="Q183" s="157"/>
      <c r="R183" s="157"/>
      <c r="S183" s="157"/>
      <c r="T183" s="18"/>
    </row>
    <row r="184" spans="3:20" x14ac:dyDescent="0.2">
      <c r="C184" t="s">
        <v>172</v>
      </c>
      <c r="E184" s="142">
        <f t="shared" ref="E184:M184" si="17">+($G$89-$G$88)</f>
        <v>0</v>
      </c>
      <c r="F184" s="142">
        <f t="shared" si="17"/>
        <v>0</v>
      </c>
      <c r="G184" s="142">
        <f t="shared" si="17"/>
        <v>0</v>
      </c>
      <c r="H184" s="142">
        <f t="shared" si="17"/>
        <v>0</v>
      </c>
      <c r="I184" s="142">
        <f t="shared" si="17"/>
        <v>0</v>
      </c>
      <c r="J184" s="142">
        <f t="shared" si="17"/>
        <v>0</v>
      </c>
      <c r="K184" s="142">
        <f t="shared" si="17"/>
        <v>0</v>
      </c>
      <c r="L184" s="142">
        <f t="shared" si="17"/>
        <v>0</v>
      </c>
      <c r="M184" s="142">
        <f t="shared" si="17"/>
        <v>0</v>
      </c>
      <c r="N184" s="145"/>
      <c r="O184" s="145"/>
      <c r="P184" s="145"/>
      <c r="Q184" s="145"/>
      <c r="R184" s="145"/>
      <c r="S184" s="145"/>
      <c r="T184" s="18"/>
    </row>
    <row r="185" spans="3:20" x14ac:dyDescent="0.2">
      <c r="C185" t="s">
        <v>278</v>
      </c>
      <c r="E185" s="142">
        <f>IF($E$180="si",$G$102,0)</f>
        <v>0</v>
      </c>
      <c r="F185" s="142">
        <f t="shared" ref="F185:M185" si="18">IF($E$180="si",$G$102,0)</f>
        <v>0</v>
      </c>
      <c r="G185" s="142">
        <f t="shared" si="18"/>
        <v>0</v>
      </c>
      <c r="H185" s="142">
        <f t="shared" si="18"/>
        <v>0</v>
      </c>
      <c r="I185" s="142">
        <f t="shared" si="18"/>
        <v>0</v>
      </c>
      <c r="J185" s="142">
        <f t="shared" si="18"/>
        <v>0</v>
      </c>
      <c r="K185" s="142">
        <f t="shared" si="18"/>
        <v>0</v>
      </c>
      <c r="L185" s="142">
        <f t="shared" si="18"/>
        <v>0</v>
      </c>
      <c r="M185" s="142">
        <f t="shared" si="18"/>
        <v>0</v>
      </c>
      <c r="N185" s="145"/>
      <c r="O185" s="145"/>
      <c r="P185" s="145"/>
      <c r="Q185" s="145"/>
      <c r="R185" s="145"/>
      <c r="S185" s="145"/>
      <c r="T185" s="18"/>
    </row>
    <row r="186" spans="3:20" x14ac:dyDescent="0.2">
      <c r="C186" s="320" t="s">
        <v>173</v>
      </c>
      <c r="D186" s="318"/>
      <c r="E186" s="319">
        <f>(E183+E184+E185)/(1+$D$122)^E182</f>
        <v>0</v>
      </c>
      <c r="F186" s="319">
        <f t="shared" ref="F186:M186" si="19">(F183+F184+F185)/(1+$D$122)^F182</f>
        <v>0</v>
      </c>
      <c r="G186" s="319">
        <f t="shared" si="19"/>
        <v>0</v>
      </c>
      <c r="H186" s="319">
        <f t="shared" si="19"/>
        <v>0</v>
      </c>
      <c r="I186" s="319">
        <f t="shared" si="19"/>
        <v>0</v>
      </c>
      <c r="J186" s="319">
        <f t="shared" si="19"/>
        <v>0</v>
      </c>
      <c r="K186" s="319">
        <f t="shared" si="19"/>
        <v>0</v>
      </c>
      <c r="L186" s="319">
        <f t="shared" si="19"/>
        <v>0</v>
      </c>
      <c r="M186" s="319">
        <f t="shared" si="19"/>
        <v>0</v>
      </c>
      <c r="N186" s="18"/>
      <c r="O186" s="18"/>
      <c r="P186" s="18"/>
      <c r="Q186" s="18"/>
      <c r="R186" s="18"/>
      <c r="S186" s="18"/>
      <c r="T186" s="18"/>
    </row>
    <row r="187" spans="3:20" s="75" customFormat="1" x14ac:dyDescent="0.2">
      <c r="C187" s="131"/>
      <c r="E187" s="426"/>
      <c r="F187" s="426"/>
      <c r="G187" s="426"/>
      <c r="H187" s="426"/>
      <c r="I187" s="426"/>
      <c r="J187" s="426"/>
      <c r="K187" s="426"/>
      <c r="L187" s="426"/>
      <c r="M187" s="426"/>
      <c r="N187" s="18"/>
      <c r="O187" s="18"/>
      <c r="P187" s="18"/>
      <c r="Q187" s="18"/>
      <c r="R187" s="18"/>
      <c r="S187" s="18"/>
      <c r="T187" s="18"/>
    </row>
    <row r="188" spans="3:20" x14ac:dyDescent="0.2">
      <c r="C188" s="5" t="s">
        <v>2</v>
      </c>
      <c r="D188" s="6">
        <v>0</v>
      </c>
      <c r="E188" s="6">
        <v>1</v>
      </c>
      <c r="F188" s="6">
        <v>2</v>
      </c>
      <c r="G188" s="6">
        <v>3</v>
      </c>
      <c r="H188" s="6">
        <v>4</v>
      </c>
      <c r="I188" s="6">
        <v>5</v>
      </c>
      <c r="J188" s="6">
        <v>6</v>
      </c>
      <c r="K188" s="6">
        <v>7</v>
      </c>
      <c r="L188" s="6">
        <v>8</v>
      </c>
      <c r="M188" s="6">
        <v>9</v>
      </c>
      <c r="N188" s="18"/>
      <c r="O188" s="18"/>
      <c r="P188" s="18"/>
      <c r="Q188" s="18"/>
      <c r="R188" s="18"/>
      <c r="S188" s="18"/>
      <c r="T188" s="18"/>
    </row>
    <row r="189" spans="3:20" x14ac:dyDescent="0.2">
      <c r="C189" t="s">
        <v>289</v>
      </c>
      <c r="E189" s="142">
        <f t="shared" ref="E189:K189" si="20">(E183)/(1+$D$122)^E182</f>
        <v>0</v>
      </c>
      <c r="F189" s="142">
        <f t="shared" si="20"/>
        <v>0</v>
      </c>
      <c r="G189" s="142">
        <f t="shared" si="20"/>
        <v>0</v>
      </c>
      <c r="H189" s="142">
        <f t="shared" si="20"/>
        <v>0</v>
      </c>
      <c r="I189" s="142">
        <f t="shared" si="20"/>
        <v>0</v>
      </c>
      <c r="J189" s="142">
        <f t="shared" si="20"/>
        <v>0</v>
      </c>
      <c r="K189" s="142">
        <f t="shared" si="20"/>
        <v>0</v>
      </c>
      <c r="L189" s="142">
        <f t="shared" ref="L189:M189" si="21">(L183)/(1+$D$122)^L182</f>
        <v>0</v>
      </c>
      <c r="M189" s="142">
        <f t="shared" si="21"/>
        <v>0</v>
      </c>
      <c r="N189" s="142"/>
      <c r="O189" s="142"/>
      <c r="P189" s="142"/>
      <c r="Q189" s="142"/>
      <c r="R189" s="142"/>
      <c r="S189" s="142"/>
    </row>
    <row r="190" spans="3:20" x14ac:dyDescent="0.2">
      <c r="C190" t="s">
        <v>290</v>
      </c>
      <c r="E190" s="142">
        <f t="shared" ref="E190:L190" si="22">(E184)/(1+$D$122)^E182</f>
        <v>0</v>
      </c>
      <c r="F190" s="142">
        <f t="shared" si="22"/>
        <v>0</v>
      </c>
      <c r="G190" s="142">
        <f t="shared" si="22"/>
        <v>0</v>
      </c>
      <c r="H190" s="142">
        <f t="shared" si="22"/>
        <v>0</v>
      </c>
      <c r="I190" s="142">
        <f t="shared" si="22"/>
        <v>0</v>
      </c>
      <c r="J190" s="142">
        <f t="shared" si="22"/>
        <v>0</v>
      </c>
      <c r="K190" s="142">
        <f t="shared" si="22"/>
        <v>0</v>
      </c>
      <c r="L190" s="142">
        <f t="shared" si="22"/>
        <v>0</v>
      </c>
      <c r="M190" s="142">
        <f t="shared" ref="M190" si="23">(M184)/(1+$D$122)^M182</f>
        <v>0</v>
      </c>
      <c r="N190" s="142"/>
      <c r="O190" s="142"/>
      <c r="P190" s="142"/>
      <c r="Q190" s="142"/>
      <c r="R190" s="142"/>
      <c r="S190" s="142"/>
    </row>
    <row r="191" spans="3:20" x14ac:dyDescent="0.2">
      <c r="C191" t="s">
        <v>291</v>
      </c>
      <c r="E191" s="142">
        <f t="shared" ref="E191:K191" si="24">(E185)/(1+$D$122)^E182</f>
        <v>0</v>
      </c>
      <c r="F191" s="142">
        <f t="shared" si="24"/>
        <v>0</v>
      </c>
      <c r="G191" s="142">
        <f t="shared" si="24"/>
        <v>0</v>
      </c>
      <c r="H191" s="142">
        <f t="shared" si="24"/>
        <v>0</v>
      </c>
      <c r="I191" s="142">
        <f t="shared" si="24"/>
        <v>0</v>
      </c>
      <c r="J191" s="142">
        <f t="shared" si="24"/>
        <v>0</v>
      </c>
      <c r="K191" s="142">
        <f t="shared" si="24"/>
        <v>0</v>
      </c>
      <c r="L191" s="142">
        <f t="shared" ref="L191:M191" si="25">(L185)/(1+$D$122)^L182</f>
        <v>0</v>
      </c>
      <c r="M191" s="142">
        <f t="shared" si="25"/>
        <v>0</v>
      </c>
      <c r="N191" s="142"/>
      <c r="O191" s="142"/>
      <c r="P191" s="142"/>
      <c r="Q191" s="142"/>
      <c r="R191" s="142"/>
      <c r="S191" s="142"/>
    </row>
    <row r="192" spans="3:20" ht="16" thickBot="1" x14ac:dyDescent="0.25"/>
    <row r="193" spans="3:4" ht="16" thickBot="1" x14ac:dyDescent="0.25">
      <c r="C193" s="25" t="s">
        <v>175</v>
      </c>
      <c r="D193" s="153">
        <f>SUM(E186:M186)</f>
        <v>0</v>
      </c>
    </row>
    <row r="194" spans="3:4" x14ac:dyDescent="0.2">
      <c r="C194" s="314" t="s">
        <v>287</v>
      </c>
      <c r="D194" s="316">
        <f>SUM(E189:M189)</f>
        <v>0</v>
      </c>
    </row>
    <row r="195" spans="3:4" x14ac:dyDescent="0.2">
      <c r="C195" s="315" t="s">
        <v>310</v>
      </c>
      <c r="D195" s="317">
        <f>SUM(E190:M190)</f>
        <v>0</v>
      </c>
    </row>
    <row r="196" spans="3:4" ht="16" thickBot="1" x14ac:dyDescent="0.25">
      <c r="C196" s="313" t="s">
        <v>288</v>
      </c>
      <c r="D196" s="233">
        <f>SUM(E191:M191)</f>
        <v>0</v>
      </c>
    </row>
    <row r="198" spans="3:4" ht="16" thickBot="1" x14ac:dyDescent="0.25"/>
    <row r="199" spans="3:4" ht="17" thickBot="1" x14ac:dyDescent="0.25">
      <c r="C199" s="428" t="s">
        <v>395</v>
      </c>
      <c r="D199" s="153">
        <f>D109-D108-D88-D104</f>
        <v>0</v>
      </c>
    </row>
    <row r="200" spans="3:4" ht="16" thickBot="1" x14ac:dyDescent="0.25"/>
    <row r="201" spans="3:4" ht="17" thickBot="1" x14ac:dyDescent="0.25">
      <c r="C201" s="429" t="s">
        <v>397</v>
      </c>
      <c r="D201" s="153">
        <f>(D109-D108-D88-D104+G109)*3.5/(10^6)*25000</f>
        <v>0</v>
      </c>
    </row>
    <row r="202" spans="3:4" ht="16" thickBot="1" x14ac:dyDescent="0.25"/>
    <row r="203" spans="3:4" ht="17" thickBot="1" x14ac:dyDescent="0.25">
      <c r="C203" s="429" t="s">
        <v>396</v>
      </c>
      <c r="D203" s="153">
        <f>(D88+IF($G$60&gt;0,0.1*($H$60+$G$60*'Prezzi servizi "smart"'!$I$12),0)+IF($G$61&gt;0,0.1*($D$102+$G$61*'Prezzi servizi "smart"'!$I$17),0)-(G89-G88)+D104)*5.7/(10^6)*25000</f>
        <v>0</v>
      </c>
    </row>
  </sheetData>
  <dataConsolidate/>
  <mergeCells count="31">
    <mergeCell ref="J27:J28"/>
    <mergeCell ref="K27:K29"/>
    <mergeCell ref="I31:K33"/>
    <mergeCell ref="C43:C56"/>
    <mergeCell ref="A43:B66"/>
    <mergeCell ref="C60:C61"/>
    <mergeCell ref="C65:C66"/>
    <mergeCell ref="F51:F53"/>
    <mergeCell ref="F44:F47"/>
    <mergeCell ref="H27:H30"/>
    <mergeCell ref="E27:E30"/>
    <mergeCell ref="I43:I44"/>
    <mergeCell ref="J43:J45"/>
    <mergeCell ref="K43:K46"/>
    <mergeCell ref="A5:A21"/>
    <mergeCell ref="C180:D180"/>
    <mergeCell ref="D44:D47"/>
    <mergeCell ref="D48:D50"/>
    <mergeCell ref="D51:D53"/>
    <mergeCell ref="C7:C8"/>
    <mergeCell ref="C9:C12"/>
    <mergeCell ref="C27:C31"/>
    <mergeCell ref="C32:C33"/>
    <mergeCell ref="A25:B33"/>
    <mergeCell ref="D55:D56"/>
    <mergeCell ref="D65:D66"/>
    <mergeCell ref="F98:G98"/>
    <mergeCell ref="F92:G92"/>
    <mergeCell ref="F87:G87"/>
    <mergeCell ref="F85:G85"/>
    <mergeCell ref="C113:D113"/>
  </mergeCells>
  <dataValidations count="3">
    <dataValidation type="list" allowBlank="1" showInputMessage="1" showErrorMessage="1" sqref="F37 E25 G107 E180 G43">
      <formula1>manut</formula1>
    </dataValidation>
    <dataValidation type="list" allowBlank="1" showInputMessage="1" showErrorMessage="1" sqref="R74">
      <formula1>Nome</formula1>
    </dataValidation>
    <dataValidation type="list" allowBlank="1" showInputMessage="1" showErrorMessage="1" sqref="I28:I30 J29:J30 K30 I45:I47 J46:J47 K47">
      <formula1>pacchetti</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03"/>
  <sheetViews>
    <sheetView topLeftCell="E73" zoomScale="80" zoomScaleNormal="80" zoomScaleSheetLayoutView="70" zoomScalePageLayoutView="80" workbookViewId="0">
      <selection activeCell="G97" sqref="G97"/>
    </sheetView>
  </sheetViews>
  <sheetFormatPr baseColWidth="10" defaultColWidth="8.83203125" defaultRowHeight="15" x14ac:dyDescent="0.2"/>
  <cols>
    <col min="2" max="2" width="22.6640625" customWidth="1"/>
    <col min="3" max="3" width="74.1640625" bestFit="1" customWidth="1"/>
    <col min="4" max="4" width="62" bestFit="1" customWidth="1"/>
    <col min="5" max="5" width="81.33203125" customWidth="1"/>
    <col min="6" max="6" width="91.33203125" customWidth="1"/>
    <col min="7" max="7" width="42.1640625" bestFit="1" customWidth="1"/>
    <col min="8" max="8" width="43.6640625" customWidth="1"/>
    <col min="9" max="9" width="51.6640625" customWidth="1"/>
    <col min="10" max="10" width="56.1640625" customWidth="1"/>
    <col min="11" max="11" width="38.33203125" customWidth="1"/>
    <col min="12" max="12" width="37" bestFit="1" customWidth="1"/>
    <col min="13" max="13" width="22.83203125" bestFit="1" customWidth="1"/>
    <col min="14" max="14" width="20.5" bestFit="1" customWidth="1"/>
    <col min="15" max="16" width="19.33203125" bestFit="1" customWidth="1"/>
    <col min="17" max="24" width="13.83203125" bestFit="1" customWidth="1"/>
  </cols>
  <sheetData>
    <row r="1" spans="1:16" ht="16" x14ac:dyDescent="0.2">
      <c r="A1" s="225" t="s">
        <v>249</v>
      </c>
      <c r="D1" s="424" t="s">
        <v>387</v>
      </c>
    </row>
    <row r="2" spans="1:16" x14ac:dyDescent="0.2">
      <c r="D2" s="425" t="s">
        <v>388</v>
      </c>
    </row>
    <row r="3" spans="1:16" x14ac:dyDescent="0.2">
      <c r="D3" s="77"/>
    </row>
    <row r="4" spans="1:16" ht="16" thickBot="1" x14ac:dyDescent="0.25">
      <c r="D4" s="77"/>
      <c r="H4" s="77"/>
      <c r="L4" s="166"/>
      <c r="O4" s="129"/>
      <c r="P4" s="130"/>
    </row>
    <row r="5" spans="1:16" x14ac:dyDescent="0.2">
      <c r="A5" s="491" t="s">
        <v>254</v>
      </c>
      <c r="B5" s="206" t="s">
        <v>28</v>
      </c>
      <c r="C5" s="206" t="s">
        <v>116</v>
      </c>
      <c r="D5" s="205" t="s">
        <v>250</v>
      </c>
      <c r="E5" s="206" t="s">
        <v>251</v>
      </c>
      <c r="F5" s="185" t="s">
        <v>252</v>
      </c>
      <c r="G5" s="206" t="s">
        <v>182</v>
      </c>
      <c r="H5" s="206" t="s">
        <v>253</v>
      </c>
      <c r="I5" s="206" t="s">
        <v>144</v>
      </c>
      <c r="J5" s="206" t="s">
        <v>145</v>
      </c>
      <c r="K5" s="206" t="s">
        <v>146</v>
      </c>
      <c r="L5" s="207" t="s">
        <v>147</v>
      </c>
      <c r="O5" s="131"/>
      <c r="P5" s="75"/>
    </row>
    <row r="6" spans="1:16" ht="14.5" customHeight="1" x14ac:dyDescent="0.2">
      <c r="A6" s="492"/>
      <c r="B6" s="274" t="s">
        <v>29</v>
      </c>
      <c r="C6" s="84" t="s">
        <v>97</v>
      </c>
      <c r="D6" s="217"/>
      <c r="E6" s="84">
        <f>'Dettaglio strade (ENEA)'!C6</f>
        <v>6</v>
      </c>
      <c r="F6" s="84"/>
      <c r="G6" s="84">
        <v>0.9</v>
      </c>
      <c r="H6" s="136"/>
      <c r="I6" s="84">
        <v>80</v>
      </c>
      <c r="J6" s="221"/>
      <c r="K6" s="219">
        <f>ROUNDDOWN(D6/'Dettaglio strade (ENEA)'!D6,0)</f>
        <v>0</v>
      </c>
      <c r="L6" s="84">
        <f>ROUNDUP(IF(ISNUMBER(J6),K6/J6,K6/I6),0)</f>
        <v>0</v>
      </c>
      <c r="O6" s="127"/>
      <c r="P6" s="75"/>
    </row>
    <row r="7" spans="1:16" x14ac:dyDescent="0.2">
      <c r="A7" s="492"/>
      <c r="B7" s="274" t="s">
        <v>103</v>
      </c>
      <c r="C7" s="448" t="s">
        <v>94</v>
      </c>
      <c r="D7" s="217"/>
      <c r="E7" s="84">
        <f>'Dettaglio strade (ENEA)'!C19</f>
        <v>7</v>
      </c>
      <c r="F7" s="84"/>
      <c r="G7" s="84">
        <v>1.1000000000000001</v>
      </c>
      <c r="H7" s="136"/>
      <c r="I7" s="84">
        <v>80</v>
      </c>
      <c r="J7" s="221"/>
      <c r="K7" s="219">
        <f>ROUNDDOWN(D7/'Dettaglio strade (ENEA)'!D19,0)</f>
        <v>0</v>
      </c>
      <c r="L7" s="84">
        <f>ROUNDUP(IF(ISNUMBER(J7),K7/J7,K7/I7),0)</f>
        <v>0</v>
      </c>
    </row>
    <row r="8" spans="1:16" x14ac:dyDescent="0.2">
      <c r="A8" s="492"/>
      <c r="B8" s="274" t="s">
        <v>104</v>
      </c>
      <c r="C8" s="448"/>
      <c r="D8" s="217"/>
      <c r="E8" s="84">
        <f>'Dettaglio strade (ENEA)'!C32+2*1.5</f>
        <v>10</v>
      </c>
      <c r="F8" s="84"/>
      <c r="G8" s="84">
        <v>1.1000000000000001</v>
      </c>
      <c r="H8" s="136"/>
      <c r="I8" s="84">
        <v>80</v>
      </c>
      <c r="J8" s="221"/>
      <c r="K8" s="219">
        <f>ROUNDDOWN(D8/'Dettaglio strade (ENEA)'!D32,0)</f>
        <v>0</v>
      </c>
      <c r="L8" s="84">
        <f t="shared" ref="L8:L15" si="0">ROUNDUP(IF(ISNUMBER(J8),K8/J8,K8/I8),0)</f>
        <v>0</v>
      </c>
    </row>
    <row r="9" spans="1:16" x14ac:dyDescent="0.2">
      <c r="A9" s="492"/>
      <c r="B9" s="274" t="s">
        <v>105</v>
      </c>
      <c r="C9" s="449" t="s">
        <v>82</v>
      </c>
      <c r="D9" s="217"/>
      <c r="E9" s="218">
        <f>'Dettaglio strade (ENEA)'!C46+2*1.5</f>
        <v>9</v>
      </c>
      <c r="F9" s="84"/>
      <c r="G9" s="218">
        <v>1.6</v>
      </c>
      <c r="H9" s="136"/>
      <c r="I9" s="84">
        <v>80</v>
      </c>
      <c r="J9" s="221"/>
      <c r="K9" s="219">
        <f>ROUNDDOWN(D9/'Dettaglio strade (ENEA)'!D46,0)</f>
        <v>0</v>
      </c>
      <c r="L9" s="84">
        <f t="shared" si="0"/>
        <v>0</v>
      </c>
    </row>
    <row r="10" spans="1:16" x14ac:dyDescent="0.2">
      <c r="A10" s="492"/>
      <c r="B10" s="274" t="s">
        <v>106</v>
      </c>
      <c r="C10" s="449"/>
      <c r="D10" s="217"/>
      <c r="E10" s="218">
        <f>'Dettaglio strade (ENEA)'!C60</f>
        <v>8</v>
      </c>
      <c r="F10" s="84"/>
      <c r="G10" s="218">
        <v>1.6</v>
      </c>
      <c r="H10" s="136"/>
      <c r="I10" s="84">
        <v>80</v>
      </c>
      <c r="J10" s="221"/>
      <c r="K10" s="219">
        <f>ROUNDDOWN(D10/'Dettaglio strade (ENEA)'!D60,0)</f>
        <v>0</v>
      </c>
      <c r="L10" s="84">
        <f t="shared" si="0"/>
        <v>0</v>
      </c>
    </row>
    <row r="11" spans="1:16" x14ac:dyDescent="0.2">
      <c r="A11" s="492"/>
      <c r="B11" s="274" t="s">
        <v>107</v>
      </c>
      <c r="C11" s="449"/>
      <c r="D11" s="217"/>
      <c r="E11" s="218">
        <f>'Dettaglio strade (ENEA)'!C73+'Dettaglio strade (ENEA)'!G73</f>
        <v>10</v>
      </c>
      <c r="F11" s="84"/>
      <c r="G11" s="218">
        <v>1.5</v>
      </c>
      <c r="H11" s="136"/>
      <c r="I11" s="84">
        <v>80</v>
      </c>
      <c r="J11" s="221"/>
      <c r="K11" s="219">
        <f>ROUNDDOWN(D11/'Dettaglio strade (ENEA)'!D73,0)</f>
        <v>0</v>
      </c>
      <c r="L11" s="84">
        <f t="shared" si="0"/>
        <v>0</v>
      </c>
    </row>
    <row r="12" spans="1:16" x14ac:dyDescent="0.2">
      <c r="A12" s="492"/>
      <c r="B12" s="274" t="s">
        <v>108</v>
      </c>
      <c r="C12" s="449"/>
      <c r="D12" s="217"/>
      <c r="E12" s="218">
        <f>'Dettaglio strade (ENEA)'!C87+2*1.5</f>
        <v>13</v>
      </c>
      <c r="F12" s="84"/>
      <c r="G12" s="218">
        <v>1.6</v>
      </c>
      <c r="H12" s="136"/>
      <c r="I12" s="84">
        <v>80</v>
      </c>
      <c r="J12" s="221"/>
      <c r="K12" s="219">
        <f>ROUNDDOWN(D12/'Dettaglio strade (ENEA)'!D87,0)</f>
        <v>0</v>
      </c>
      <c r="L12" s="84">
        <f t="shared" si="0"/>
        <v>0</v>
      </c>
    </row>
    <row r="13" spans="1:16" x14ac:dyDescent="0.2">
      <c r="A13" s="492"/>
      <c r="B13" s="274" t="s">
        <v>36</v>
      </c>
      <c r="C13" s="84" t="s">
        <v>44</v>
      </c>
      <c r="D13" s="217"/>
      <c r="E13" s="220">
        <f>('Dettaglio strade (ENEA)'!C99+2.5)*2</f>
        <v>19</v>
      </c>
      <c r="F13" s="84"/>
      <c r="G13" s="218">
        <v>2.4500000000000002</v>
      </c>
      <c r="H13" s="136"/>
      <c r="I13" s="84">
        <v>80</v>
      </c>
      <c r="J13" s="221"/>
      <c r="K13" s="219">
        <f>ROUNDDOWN(D13/'Dettaglio strade (ENEA)'!D99*2,0)</f>
        <v>0</v>
      </c>
      <c r="L13" s="84">
        <f t="shared" si="0"/>
        <v>0</v>
      </c>
    </row>
    <row r="14" spans="1:16" x14ac:dyDescent="0.2">
      <c r="A14" s="492"/>
      <c r="B14" s="274" t="s">
        <v>109</v>
      </c>
      <c r="C14" s="84" t="s">
        <v>74</v>
      </c>
      <c r="D14" s="217"/>
      <c r="E14" s="220">
        <f>'Dettaglio strade (ENEA)'!C114</f>
        <v>12</v>
      </c>
      <c r="F14" s="84"/>
      <c r="G14" s="218">
        <v>3.4</v>
      </c>
      <c r="H14" s="136"/>
      <c r="I14" s="84">
        <v>80</v>
      </c>
      <c r="J14" s="221"/>
      <c r="K14" s="219">
        <f>ROUNDDOWN(D14/'Dettaglio strade (ENEA)'!D114*2,0)</f>
        <v>0</v>
      </c>
      <c r="L14" s="84">
        <f t="shared" si="0"/>
        <v>0</v>
      </c>
    </row>
    <row r="15" spans="1:16" x14ac:dyDescent="0.2">
      <c r="A15" s="492"/>
      <c r="B15" s="274" t="s">
        <v>38</v>
      </c>
      <c r="C15" s="84" t="s">
        <v>44</v>
      </c>
      <c r="D15" s="217"/>
      <c r="E15" s="84">
        <f>'Dettaglio strade (ENEA)'!C129</f>
        <v>4</v>
      </c>
      <c r="F15" s="84"/>
      <c r="G15" s="84">
        <v>2.4300000000000002</v>
      </c>
      <c r="H15" s="136"/>
      <c r="I15" s="84">
        <v>80</v>
      </c>
      <c r="J15" s="221"/>
      <c r="K15" s="219">
        <f>ROUNDDOWN(D15/'Dettaglio strade (ENEA)'!D129,0)</f>
        <v>0</v>
      </c>
      <c r="L15" s="84">
        <f t="shared" si="0"/>
        <v>0</v>
      </c>
    </row>
    <row r="16" spans="1:16" x14ac:dyDescent="0.2">
      <c r="A16" s="492"/>
      <c r="B16" s="275"/>
      <c r="C16" s="84" t="s">
        <v>74</v>
      </c>
      <c r="D16" s="221"/>
      <c r="E16" s="222"/>
      <c r="F16" s="221"/>
      <c r="G16" s="218">
        <v>3.4</v>
      </c>
      <c r="H16" s="221"/>
      <c r="I16" s="84">
        <v>80</v>
      </c>
      <c r="J16" s="221"/>
      <c r="K16" s="218">
        <f>IFERROR(ROUNDDOWN(D16/F16,0),0)</f>
        <v>0</v>
      </c>
      <c r="L16" s="84">
        <f>ROUNDUP(IF(ISNUMBER(J16),K16/J16,K16/I16),0)</f>
        <v>0</v>
      </c>
    </row>
    <row r="17" spans="1:12" x14ac:dyDescent="0.2">
      <c r="A17" s="492"/>
      <c r="B17" s="275"/>
      <c r="C17" s="84" t="s">
        <v>44</v>
      </c>
      <c r="D17" s="221"/>
      <c r="E17" s="222"/>
      <c r="F17" s="221"/>
      <c r="G17" s="218">
        <v>2.4500000000000002</v>
      </c>
      <c r="H17" s="221"/>
      <c r="I17" s="84">
        <v>80</v>
      </c>
      <c r="J17" s="221"/>
      <c r="K17" s="218">
        <f t="shared" ref="K17:K20" si="1">IFERROR(ROUNDDOWN(D17/F17,0),0)</f>
        <v>0</v>
      </c>
      <c r="L17" s="84">
        <f>ROUNDUP(IF(ISNUMBER(J17),K17/J17,K17/I17),0)</f>
        <v>0</v>
      </c>
    </row>
    <row r="18" spans="1:12" x14ac:dyDescent="0.2">
      <c r="A18" s="492"/>
      <c r="B18" s="275"/>
      <c r="C18" s="84" t="s">
        <v>82</v>
      </c>
      <c r="D18" s="221"/>
      <c r="E18" s="222"/>
      <c r="F18" s="221"/>
      <c r="G18" s="218">
        <v>1.6</v>
      </c>
      <c r="H18" s="221"/>
      <c r="I18" s="84">
        <v>80</v>
      </c>
      <c r="J18" s="221"/>
      <c r="K18" s="218">
        <f t="shared" si="1"/>
        <v>0</v>
      </c>
      <c r="L18" s="84">
        <f t="shared" ref="L18:L20" si="2">ROUNDUP(IF(ISNUMBER(J18),K18/J18,K18/I18),0)</f>
        <v>0</v>
      </c>
    </row>
    <row r="19" spans="1:12" x14ac:dyDescent="0.2">
      <c r="A19" s="492"/>
      <c r="B19" s="275"/>
      <c r="C19" s="84" t="s">
        <v>94</v>
      </c>
      <c r="D19" s="221"/>
      <c r="E19" s="222"/>
      <c r="F19" s="221"/>
      <c r="G19" s="218">
        <v>1.1000000000000001</v>
      </c>
      <c r="H19" s="221"/>
      <c r="I19" s="84">
        <v>80</v>
      </c>
      <c r="J19" s="221"/>
      <c r="K19" s="218">
        <f t="shared" si="1"/>
        <v>0</v>
      </c>
      <c r="L19" s="84">
        <f t="shared" si="2"/>
        <v>0</v>
      </c>
    </row>
    <row r="20" spans="1:12" x14ac:dyDescent="0.2">
      <c r="A20" s="492"/>
      <c r="B20" s="275"/>
      <c r="C20" s="84" t="s">
        <v>97</v>
      </c>
      <c r="D20" s="221"/>
      <c r="E20" s="222"/>
      <c r="F20" s="221"/>
      <c r="G20" s="218">
        <v>0.9</v>
      </c>
      <c r="H20" s="221"/>
      <c r="I20" s="84">
        <v>80</v>
      </c>
      <c r="J20" s="221"/>
      <c r="K20" s="218">
        <f t="shared" si="1"/>
        <v>0</v>
      </c>
      <c r="L20" s="84">
        <f t="shared" si="2"/>
        <v>0</v>
      </c>
    </row>
    <row r="21" spans="1:12" ht="16" thickBot="1" x14ac:dyDescent="0.25">
      <c r="A21" s="493"/>
      <c r="B21" s="213"/>
      <c r="C21" s="213"/>
      <c r="D21" s="208">
        <f>SUM(D6:D20)</f>
        <v>0</v>
      </c>
      <c r="E21" s="209"/>
      <c r="F21" s="209"/>
      <c r="G21" s="210"/>
      <c r="H21" s="224">
        <f>SUM(H6:H20)</f>
        <v>0</v>
      </c>
      <c r="I21" s="213"/>
      <c r="J21" s="214"/>
      <c r="K21" s="215">
        <f>SUM(K6:K20)</f>
        <v>0</v>
      </c>
      <c r="L21" s="216">
        <f>SUM(L6:L20)</f>
        <v>0</v>
      </c>
    </row>
    <row r="23" spans="1:12" ht="16" thickBot="1" x14ac:dyDescent="0.25"/>
    <row r="24" spans="1:12" ht="16" thickBot="1" x14ac:dyDescent="0.25">
      <c r="C24" s="75"/>
      <c r="D24" s="77" t="s">
        <v>260</v>
      </c>
      <c r="E24" s="18"/>
      <c r="F24" s="265" t="s">
        <v>264</v>
      </c>
      <c r="G24" s="18"/>
    </row>
    <row r="25" spans="1:12" ht="15" customHeight="1" thickBot="1" x14ac:dyDescent="0.25">
      <c r="A25" s="508" t="s">
        <v>308</v>
      </c>
      <c r="B25" s="509"/>
      <c r="C25" s="273" t="s">
        <v>263</v>
      </c>
      <c r="D25" s="261" t="s">
        <v>262</v>
      </c>
      <c r="E25" s="263" t="s">
        <v>119</v>
      </c>
      <c r="F25" s="264" t="str">
        <f>IF(AND(OR(F27&gt;0,F28&gt;0,F29&gt;0,F30&gt;0,F32&gt;0),E25="si"),"ATTENZIONE!! Non è possibile avere un impianto REG","ok")</f>
        <v>ok</v>
      </c>
      <c r="G25" t="s">
        <v>110</v>
      </c>
    </row>
    <row r="26" spans="1:12" ht="15" customHeight="1" thickBot="1" x14ac:dyDescent="0.25">
      <c r="A26" s="510"/>
      <c r="B26" s="511"/>
      <c r="D26" s="149" t="s">
        <v>102</v>
      </c>
      <c r="E26" s="185" t="s">
        <v>149</v>
      </c>
      <c r="F26" s="185" t="s">
        <v>148</v>
      </c>
      <c r="G26" s="186" t="s">
        <v>179</v>
      </c>
      <c r="H26" s="271" t="s">
        <v>264</v>
      </c>
      <c r="I26" s="26" t="s">
        <v>359</v>
      </c>
      <c r="J26" s="26" t="s">
        <v>360</v>
      </c>
      <c r="K26" s="26" t="s">
        <v>361</v>
      </c>
    </row>
    <row r="27" spans="1:12" ht="14.5" customHeight="1" x14ac:dyDescent="0.2">
      <c r="A27" s="510"/>
      <c r="B27" s="511"/>
      <c r="C27" s="465" t="s">
        <v>256</v>
      </c>
      <c r="D27" s="278" t="s">
        <v>209</v>
      </c>
      <c r="E27" s="481" t="s">
        <v>178</v>
      </c>
      <c r="F27" s="135"/>
      <c r="G27" s="226">
        <f>F27*'Prezzi smart adaptive lighting'!$C$4</f>
        <v>0</v>
      </c>
      <c r="H27" s="505" t="str">
        <f>IF(OR($E$25="si",$F$32&gt;0),"non si può avere un impianto TAI","è possibile avere un impianto TAI")</f>
        <v>è possibile avere un impianto TAI</v>
      </c>
      <c r="I27" s="384" t="s">
        <v>362</v>
      </c>
      <c r="J27" s="436" t="s">
        <v>362</v>
      </c>
      <c r="K27" s="438" t="s">
        <v>362</v>
      </c>
    </row>
    <row r="28" spans="1:12" ht="14.5" customHeight="1" x14ac:dyDescent="0.2">
      <c r="A28" s="510"/>
      <c r="B28" s="511"/>
      <c r="C28" s="466"/>
      <c r="D28" s="279" t="s">
        <v>243</v>
      </c>
      <c r="E28" s="482"/>
      <c r="F28" s="136"/>
      <c r="G28" s="227">
        <f>F28*'Prezzi smart adaptive lighting'!$C$5</f>
        <v>0</v>
      </c>
      <c r="H28" s="505"/>
      <c r="I28" s="401" t="s">
        <v>317</v>
      </c>
      <c r="J28" s="441"/>
      <c r="K28" s="442"/>
    </row>
    <row r="29" spans="1:12" ht="14.5" customHeight="1" x14ac:dyDescent="0.2">
      <c r="A29" s="510"/>
      <c r="B29" s="511"/>
      <c r="C29" s="466"/>
      <c r="D29" s="279" t="s">
        <v>244</v>
      </c>
      <c r="E29" s="482"/>
      <c r="F29" s="136"/>
      <c r="G29" s="227">
        <f>F29*'Prezzi smart adaptive lighting'!$C$5</f>
        <v>0</v>
      </c>
      <c r="H29" s="505"/>
      <c r="I29" s="401" t="s">
        <v>317</v>
      </c>
      <c r="J29" s="401" t="s">
        <v>321</v>
      </c>
      <c r="K29" s="442"/>
    </row>
    <row r="30" spans="1:12" ht="15" customHeight="1" thickBot="1" x14ac:dyDescent="0.25">
      <c r="A30" s="510"/>
      <c r="B30" s="511"/>
      <c r="C30" s="466"/>
      <c r="D30" s="279" t="s">
        <v>245</v>
      </c>
      <c r="E30" s="483"/>
      <c r="F30" s="136"/>
      <c r="G30" s="227">
        <f>F30*'Prezzi smart adaptive lighting'!$C$5</f>
        <v>0</v>
      </c>
      <c r="H30" s="505"/>
      <c r="I30" s="401"/>
      <c r="J30" s="401"/>
      <c r="K30" s="401"/>
    </row>
    <row r="31" spans="1:12" ht="15" customHeight="1" thickBot="1" x14ac:dyDescent="0.25">
      <c r="A31" s="510"/>
      <c r="B31" s="511"/>
      <c r="C31" s="467"/>
      <c r="D31" s="167" t="s">
        <v>349</v>
      </c>
      <c r="E31" s="371" t="str">
        <f>IF(SUM(F27:F30)&gt;=H21,"ok","ATTENZIONE: #sensori &lt; #incocri, procedere comunque?")</f>
        <v>ok</v>
      </c>
      <c r="F31" s="372">
        <f>SUM(F27:F30)</f>
        <v>0</v>
      </c>
      <c r="G31" s="123">
        <f>SUM(G27:G30)</f>
        <v>0</v>
      </c>
      <c r="H31" s="389"/>
      <c r="I31" s="440" t="s">
        <v>362</v>
      </c>
      <c r="J31" s="440"/>
      <c r="K31" s="440"/>
    </row>
    <row r="32" spans="1:12" ht="16" thickBot="1" x14ac:dyDescent="0.25">
      <c r="A32" s="510"/>
      <c r="B32" s="511"/>
      <c r="C32" s="468" t="s">
        <v>255</v>
      </c>
      <c r="D32" s="280" t="s">
        <v>215</v>
      </c>
      <c r="E32" s="369" t="s">
        <v>178</v>
      </c>
      <c r="F32" s="136"/>
      <c r="G32" s="228">
        <f>F32*'Prezzi smart adaptive lighting'!B8</f>
        <v>0</v>
      </c>
      <c r="H32" s="295" t="str">
        <f>IF(OR($E$25="si",F27&gt;0,F28&gt;0,F29&gt;0,F30&gt;0),"non si può avere un impianto FAI","è possibile avere un impianto FAI")</f>
        <v>è possibile avere un impianto FAI</v>
      </c>
      <c r="I32" s="440"/>
      <c r="J32" s="440"/>
      <c r="K32" s="440"/>
    </row>
    <row r="33" spans="1:12" ht="16" thickBot="1" x14ac:dyDescent="0.25">
      <c r="A33" s="512"/>
      <c r="B33" s="513"/>
      <c r="C33" s="469"/>
      <c r="D33" s="167" t="s">
        <v>351</v>
      </c>
      <c r="E33" s="371" t="str">
        <f>IF(F33&gt;=H21,"ok","ATTENZIONE! #sensori &lt; #incroci, procedere comunque?")</f>
        <v>ok</v>
      </c>
      <c r="F33" s="168">
        <f>F32</f>
        <v>0</v>
      </c>
      <c r="G33" s="200">
        <f>G32</f>
        <v>0</v>
      </c>
      <c r="H33" s="389"/>
      <c r="I33" s="440"/>
      <c r="J33" s="440"/>
      <c r="K33" s="440"/>
    </row>
    <row r="35" spans="1:12" ht="16" thickBot="1" x14ac:dyDescent="0.25"/>
    <row r="36" spans="1:12" ht="17" thickBot="1" x14ac:dyDescent="0.25">
      <c r="D36" s="270" t="s">
        <v>265</v>
      </c>
      <c r="E36" s="18"/>
    </row>
    <row r="37" spans="1:12" ht="16" thickBot="1" x14ac:dyDescent="0.25">
      <c r="D37" s="272" t="s">
        <v>266</v>
      </c>
      <c r="E37" s="262" t="s">
        <v>119</v>
      </c>
    </row>
    <row r="38" spans="1:12" ht="16" thickBot="1" x14ac:dyDescent="0.25">
      <c r="D38" s="12" t="s">
        <v>276</v>
      </c>
      <c r="E38" s="12"/>
    </row>
    <row r="39" spans="1:12" ht="16" thickBot="1" x14ac:dyDescent="0.25">
      <c r="D39" s="293" t="str">
        <f>IF(E37="si","Qual è il costo TOTALE del software di telegestione presente?","NON COMPILARE QUESTO CAMPO")</f>
        <v>NON COMPILARE QUESTO CAMPO</v>
      </c>
      <c r="E39" s="294"/>
    </row>
    <row r="40" spans="1:12" x14ac:dyDescent="0.2">
      <c r="B40" s="12"/>
    </row>
    <row r="41" spans="1:12" ht="16" thickBot="1" x14ac:dyDescent="0.25">
      <c r="B41" s="12"/>
      <c r="E41" s="77" t="s">
        <v>261</v>
      </c>
      <c r="H41" t="s">
        <v>110</v>
      </c>
    </row>
    <row r="42" spans="1:12" ht="16" thickBot="1" x14ac:dyDescent="0.25">
      <c r="B42" s="12"/>
      <c r="E42" s="149" t="s">
        <v>102</v>
      </c>
      <c r="F42" s="185" t="s">
        <v>149</v>
      </c>
      <c r="G42" s="185" t="s">
        <v>148</v>
      </c>
      <c r="H42" s="186" t="s">
        <v>179</v>
      </c>
      <c r="I42" s="26" t="s">
        <v>359</v>
      </c>
      <c r="J42" s="26" t="s">
        <v>360</v>
      </c>
      <c r="K42" s="26" t="s">
        <v>361</v>
      </c>
    </row>
    <row r="43" spans="1:12" ht="15" customHeight="1" thickBot="1" x14ac:dyDescent="0.25">
      <c r="A43" s="499" t="s">
        <v>350</v>
      </c>
      <c r="B43" s="500"/>
      <c r="C43" s="484" t="s">
        <v>257</v>
      </c>
      <c r="D43" s="391" t="s">
        <v>228</v>
      </c>
      <c r="E43" s="392" t="s">
        <v>364</v>
      </c>
      <c r="F43" s="84" t="s">
        <v>363</v>
      </c>
      <c r="G43" s="136" t="s">
        <v>119</v>
      </c>
      <c r="H43" s="394"/>
      <c r="I43" s="438" t="s">
        <v>362</v>
      </c>
      <c r="J43" s="436" t="s">
        <v>362</v>
      </c>
      <c r="K43" s="438" t="s">
        <v>362</v>
      </c>
    </row>
    <row r="44" spans="1:12" ht="14.5" customHeight="1" x14ac:dyDescent="0.2">
      <c r="A44" s="501"/>
      <c r="B44" s="502"/>
      <c r="C44" s="485"/>
      <c r="D44" s="450" t="s">
        <v>336</v>
      </c>
      <c r="E44" s="393" t="s">
        <v>209</v>
      </c>
      <c r="F44" s="482" t="s">
        <v>178</v>
      </c>
      <c r="G44" s="380"/>
      <c r="H44" s="381">
        <f>G44*'Prezzi smart adaptive lighting'!C4</f>
        <v>0</v>
      </c>
      <c r="I44" s="442"/>
      <c r="J44" s="437"/>
      <c r="K44" s="439"/>
      <c r="L44" s="256" t="s">
        <v>259</v>
      </c>
    </row>
    <row r="45" spans="1:12" ht="14.5" customHeight="1" x14ac:dyDescent="0.2">
      <c r="A45" s="501"/>
      <c r="B45" s="502"/>
      <c r="C45" s="485"/>
      <c r="D45" s="451"/>
      <c r="E45" s="279" t="s">
        <v>243</v>
      </c>
      <c r="F45" s="482"/>
      <c r="G45" s="136"/>
      <c r="H45" s="227">
        <f>G45*'Prezzi smart adaptive lighting'!$C$5</f>
        <v>0</v>
      </c>
      <c r="I45" s="401" t="s">
        <v>317</v>
      </c>
      <c r="J45" s="437"/>
      <c r="K45" s="439"/>
      <c r="L45" s="256" t="s">
        <v>259</v>
      </c>
    </row>
    <row r="46" spans="1:12" ht="14.5" customHeight="1" x14ac:dyDescent="0.2">
      <c r="A46" s="501"/>
      <c r="B46" s="502"/>
      <c r="C46" s="485"/>
      <c r="D46" s="451"/>
      <c r="E46" s="279" t="s">
        <v>244</v>
      </c>
      <c r="F46" s="482"/>
      <c r="G46" s="136"/>
      <c r="H46" s="227">
        <f>G46*'Prezzi smart adaptive lighting'!$C$5</f>
        <v>0</v>
      </c>
      <c r="I46" s="401" t="s">
        <v>317</v>
      </c>
      <c r="J46" s="401" t="s">
        <v>321</v>
      </c>
      <c r="K46" s="439"/>
      <c r="L46" s="256" t="s">
        <v>259</v>
      </c>
    </row>
    <row r="47" spans="1:12" ht="15" customHeight="1" thickBot="1" x14ac:dyDescent="0.25">
      <c r="A47" s="501"/>
      <c r="B47" s="502"/>
      <c r="C47" s="485"/>
      <c r="D47" s="452"/>
      <c r="E47" s="279" t="s">
        <v>245</v>
      </c>
      <c r="F47" s="487"/>
      <c r="G47" s="136"/>
      <c r="H47" s="227">
        <f>G47*'Prezzi smart adaptive lighting'!$C$5</f>
        <v>0</v>
      </c>
      <c r="I47" s="401"/>
      <c r="J47" s="401"/>
      <c r="K47" s="401"/>
      <c r="L47" s="256" t="s">
        <v>259</v>
      </c>
    </row>
    <row r="48" spans="1:12" ht="14.5" customHeight="1" x14ac:dyDescent="0.2">
      <c r="A48" s="501"/>
      <c r="B48" s="502"/>
      <c r="C48" s="485"/>
      <c r="D48" s="450" t="s">
        <v>338</v>
      </c>
      <c r="E48" s="279" t="s">
        <v>195</v>
      </c>
      <c r="F48" s="204" t="s">
        <v>234</v>
      </c>
      <c r="G48" s="136"/>
      <c r="H48" s="228">
        <f>G48*'Prezzi servizi "smart"'!$C$17</f>
        <v>0</v>
      </c>
      <c r="I48" s="395"/>
      <c r="J48" s="395"/>
      <c r="K48" s="395"/>
    </row>
    <row r="49" spans="1:11" ht="30" x14ac:dyDescent="0.2">
      <c r="A49" s="501"/>
      <c r="B49" s="502"/>
      <c r="C49" s="485"/>
      <c r="D49" s="451"/>
      <c r="E49" s="281" t="s">
        <v>246</v>
      </c>
      <c r="F49" s="355" t="s">
        <v>235</v>
      </c>
      <c r="G49" s="136"/>
      <c r="H49" s="229">
        <f>G49*'Prezzi servizi "smart"'!$C$18</f>
        <v>0</v>
      </c>
      <c r="I49" s="395"/>
      <c r="J49" s="395"/>
      <c r="K49" s="395"/>
    </row>
    <row r="50" spans="1:11" ht="15" customHeight="1" thickBot="1" x14ac:dyDescent="0.25">
      <c r="A50" s="501"/>
      <c r="B50" s="502"/>
      <c r="C50" s="485"/>
      <c r="D50" s="452"/>
      <c r="E50" s="282" t="s">
        <v>192</v>
      </c>
      <c r="F50" s="204" t="s">
        <v>236</v>
      </c>
      <c r="G50" s="136"/>
      <c r="H50" s="228">
        <f>G50*'Prezzi servizi "smart"'!$C$19</f>
        <v>0</v>
      </c>
      <c r="I50" s="395"/>
      <c r="J50" s="395"/>
      <c r="K50" s="395"/>
    </row>
    <row r="51" spans="1:11" ht="14.5" customHeight="1" x14ac:dyDescent="0.2">
      <c r="A51" s="501"/>
      <c r="B51" s="502"/>
      <c r="C51" s="485"/>
      <c r="D51" s="450" t="s">
        <v>339</v>
      </c>
      <c r="E51" s="279" t="s">
        <v>205</v>
      </c>
      <c r="F51" s="488" t="s">
        <v>237</v>
      </c>
      <c r="G51" s="136"/>
      <c r="H51" s="228">
        <f>G51*'Prezzi servizi "smart"'!$C$25</f>
        <v>0</v>
      </c>
      <c r="I51" s="400"/>
      <c r="J51" s="383"/>
      <c r="K51" s="383"/>
    </row>
    <row r="52" spans="1:11" ht="14.5" customHeight="1" x14ac:dyDescent="0.2">
      <c r="A52" s="501"/>
      <c r="B52" s="502"/>
      <c r="C52" s="485"/>
      <c r="D52" s="451"/>
      <c r="E52" s="279" t="s">
        <v>186</v>
      </c>
      <c r="F52" s="489"/>
      <c r="G52" s="136"/>
      <c r="H52" s="228">
        <f>'Prezzi servizi "smart"'!$C$26*G52</f>
        <v>0</v>
      </c>
      <c r="I52" s="400"/>
      <c r="J52" s="383"/>
      <c r="K52" s="383"/>
    </row>
    <row r="53" spans="1:11" ht="15" customHeight="1" thickBot="1" x14ac:dyDescent="0.25">
      <c r="A53" s="501"/>
      <c r="B53" s="502"/>
      <c r="C53" s="485"/>
      <c r="D53" s="452"/>
      <c r="E53" s="282" t="s">
        <v>206</v>
      </c>
      <c r="F53" s="490"/>
      <c r="G53" s="136"/>
      <c r="H53" s="228">
        <f>G53*'Prezzi servizi "smart"'!$C$27</f>
        <v>0</v>
      </c>
      <c r="I53" s="400"/>
      <c r="J53" s="383"/>
      <c r="K53" s="383"/>
    </row>
    <row r="54" spans="1:11" ht="24" customHeight="1" thickBot="1" x14ac:dyDescent="0.25">
      <c r="A54" s="501"/>
      <c r="B54" s="502"/>
      <c r="C54" s="485"/>
      <c r="D54" s="348" t="s">
        <v>340</v>
      </c>
      <c r="E54" s="281" t="s">
        <v>297</v>
      </c>
      <c r="F54" s="353" t="s">
        <v>275</v>
      </c>
      <c r="G54" s="136"/>
      <c r="H54" s="328">
        <f>G54*'Prezzi servizi "smart"'!$H$11</f>
        <v>0</v>
      </c>
      <c r="I54" s="400"/>
      <c r="J54" s="383"/>
      <c r="K54" s="383"/>
    </row>
    <row r="55" spans="1:11" ht="14.5" customHeight="1" x14ac:dyDescent="0.2">
      <c r="A55" s="501"/>
      <c r="B55" s="502"/>
      <c r="C55" s="485"/>
      <c r="D55" s="450" t="s">
        <v>341</v>
      </c>
      <c r="E55" s="279" t="s">
        <v>208</v>
      </c>
      <c r="F55" s="204" t="s">
        <v>238</v>
      </c>
      <c r="G55" s="136"/>
      <c r="H55" s="228">
        <f>G55*'Prezzi servizi "smart"'!$C$33</f>
        <v>0</v>
      </c>
      <c r="I55" s="400"/>
      <c r="J55" s="383"/>
      <c r="K55" s="383"/>
    </row>
    <row r="56" spans="1:11" ht="15" customHeight="1" thickBot="1" x14ac:dyDescent="0.25">
      <c r="A56" s="501"/>
      <c r="B56" s="502"/>
      <c r="C56" s="486"/>
      <c r="D56" s="452"/>
      <c r="E56" s="279" t="s">
        <v>200</v>
      </c>
      <c r="F56" s="204" t="s">
        <v>239</v>
      </c>
      <c r="G56" s="136"/>
      <c r="H56" s="228">
        <f>G56*'Prezzi servizi "smart"'!$C$27</f>
        <v>0</v>
      </c>
      <c r="I56" s="400"/>
      <c r="J56" s="383"/>
      <c r="K56" s="383"/>
    </row>
    <row r="57" spans="1:11" ht="15" customHeight="1" thickBot="1" x14ac:dyDescent="0.25">
      <c r="A57" s="501"/>
      <c r="B57" s="502"/>
      <c r="C57" s="337"/>
      <c r="E57" s="199" t="s">
        <v>115</v>
      </c>
      <c r="F57" s="356" t="str">
        <f>IF(SUM(G44:G47)&gt;=H21,"ok","ATTENZIONE: #sensori &lt; #incocri, procedere comunque?")</f>
        <v>ok</v>
      </c>
      <c r="G57" s="168">
        <f>SUM(G44:G56)</f>
        <v>0</v>
      </c>
      <c r="H57" s="123">
        <f>SUM(H44:H56)</f>
        <v>0</v>
      </c>
      <c r="I57" s="400"/>
      <c r="J57" s="383"/>
      <c r="K57" s="383"/>
    </row>
    <row r="58" spans="1:11" ht="15" customHeight="1" thickBot="1" x14ac:dyDescent="0.25">
      <c r="A58" s="501"/>
      <c r="B58" s="502"/>
      <c r="C58" s="337"/>
      <c r="D58" s="12"/>
      <c r="F58" s="357"/>
      <c r="I58" s="18"/>
    </row>
    <row r="59" spans="1:11" ht="15" customHeight="1" thickBot="1" x14ac:dyDescent="0.25">
      <c r="A59" s="501"/>
      <c r="B59" s="502"/>
      <c r="D59" s="12"/>
      <c r="E59" s="25" t="s">
        <v>102</v>
      </c>
      <c r="F59" s="26" t="s">
        <v>149</v>
      </c>
      <c r="G59" s="185" t="s">
        <v>148</v>
      </c>
      <c r="H59" s="27" t="s">
        <v>179</v>
      </c>
      <c r="I59" s="18"/>
    </row>
    <row r="60" spans="1:11" ht="24" customHeight="1" thickBot="1" x14ac:dyDescent="0.25">
      <c r="A60" s="501"/>
      <c r="B60" s="502"/>
      <c r="C60" s="514" t="s">
        <v>258</v>
      </c>
      <c r="D60" s="336" t="s">
        <v>340</v>
      </c>
      <c r="E60" s="283" t="s">
        <v>207</v>
      </c>
      <c r="F60" s="353" t="s">
        <v>275</v>
      </c>
      <c r="G60" s="136"/>
      <c r="H60" s="231">
        <f>G60*'Prezzi servizi "smart"'!$H$12</f>
        <v>0</v>
      </c>
      <c r="I60" s="127"/>
    </row>
    <row r="61" spans="1:11" ht="24" customHeight="1" thickBot="1" x14ac:dyDescent="0.25">
      <c r="A61" s="501"/>
      <c r="B61" s="502"/>
      <c r="C61" s="515"/>
      <c r="D61" s="336" t="s">
        <v>344</v>
      </c>
      <c r="E61" s="358" t="s">
        <v>187</v>
      </c>
      <c r="F61" s="359" t="s">
        <v>242</v>
      </c>
      <c r="G61" s="360"/>
      <c r="H61" s="352">
        <f>G61*'Prezzi servizi "smart"'!$H$17</f>
        <v>0</v>
      </c>
      <c r="I61" s="18"/>
    </row>
    <row r="62" spans="1:11" ht="15" customHeight="1" thickBot="1" x14ac:dyDescent="0.25">
      <c r="A62" s="501"/>
      <c r="B62" s="502"/>
      <c r="C62" s="343"/>
      <c r="E62" s="361" t="s">
        <v>115</v>
      </c>
      <c r="F62" s="362"/>
      <c r="G62" s="363">
        <f>SUM(G60:G61)</f>
        <v>0</v>
      </c>
      <c r="H62" s="364">
        <f>SUM(H60:H61)</f>
        <v>0</v>
      </c>
      <c r="I62" s="18"/>
    </row>
    <row r="63" spans="1:11" ht="15" customHeight="1" thickBot="1" x14ac:dyDescent="0.25">
      <c r="A63" s="501"/>
      <c r="B63" s="502"/>
      <c r="C63" s="343"/>
      <c r="I63" s="18"/>
    </row>
    <row r="64" spans="1:11" ht="15" customHeight="1" thickBot="1" x14ac:dyDescent="0.25">
      <c r="A64" s="501"/>
      <c r="B64" s="502"/>
      <c r="C64" s="343"/>
      <c r="E64" s="25" t="s">
        <v>102</v>
      </c>
      <c r="F64" s="26" t="s">
        <v>149</v>
      </c>
      <c r="G64" s="26" t="s">
        <v>148</v>
      </c>
      <c r="H64" s="27" t="s">
        <v>179</v>
      </c>
      <c r="I64" s="18"/>
    </row>
    <row r="65" spans="1:14" ht="14.5" customHeight="1" x14ac:dyDescent="0.2">
      <c r="A65" s="501"/>
      <c r="B65" s="502"/>
      <c r="C65" s="497" t="s">
        <v>342</v>
      </c>
      <c r="D65" s="495" t="s">
        <v>343</v>
      </c>
      <c r="E65" s="344" t="s">
        <v>193</v>
      </c>
      <c r="F65" s="345" t="s">
        <v>240</v>
      </c>
      <c r="G65" s="135"/>
      <c r="H65" s="346">
        <f>G65*'Prezzi servizi "smart"'!$H$4</f>
        <v>0</v>
      </c>
    </row>
    <row r="66" spans="1:14" ht="15" customHeight="1" thickBot="1" x14ac:dyDescent="0.25">
      <c r="A66" s="503"/>
      <c r="B66" s="504"/>
      <c r="C66" s="498"/>
      <c r="D66" s="496"/>
      <c r="E66" s="190" t="s">
        <v>194</v>
      </c>
      <c r="F66" s="347" t="s">
        <v>236</v>
      </c>
      <c r="G66" s="171"/>
      <c r="H66" s="230">
        <f>G66*'Prezzi servizi "smart"'!$H$5</f>
        <v>0</v>
      </c>
    </row>
    <row r="67" spans="1:14" ht="16" thickBot="1" x14ac:dyDescent="0.25">
      <c r="E67" s="199" t="s">
        <v>115</v>
      </c>
      <c r="F67" s="324"/>
      <c r="G67" s="325">
        <f>SUM(G65:G66)</f>
        <v>0</v>
      </c>
      <c r="H67" s="350">
        <f>SUM(H65:H66)</f>
        <v>0</v>
      </c>
    </row>
    <row r="70" spans="1:14" x14ac:dyDescent="0.2">
      <c r="C70" s="296" t="s">
        <v>22</v>
      </c>
      <c r="D70" s="297"/>
      <c r="E70" s="18"/>
      <c r="F70" s="18"/>
      <c r="G70" s="18"/>
      <c r="H70" s="18"/>
      <c r="I70" s="18"/>
      <c r="J70" s="18"/>
    </row>
    <row r="71" spans="1:14" x14ac:dyDescent="0.2">
      <c r="C71" s="178" t="s">
        <v>25</v>
      </c>
      <c r="D71" s="184">
        <f>K21</f>
        <v>0</v>
      </c>
      <c r="J71" s="86"/>
      <c r="K71" s="86"/>
      <c r="L71" s="86"/>
      <c r="M71" s="86"/>
      <c r="N71" s="86"/>
    </row>
    <row r="72" spans="1:14" x14ac:dyDescent="0.2">
      <c r="C72" s="175" t="s">
        <v>24</v>
      </c>
      <c r="D72" s="182">
        <f>L21</f>
        <v>0</v>
      </c>
      <c r="J72" s="86"/>
      <c r="K72" s="96"/>
      <c r="L72" s="96"/>
      <c r="M72" s="96"/>
      <c r="N72" s="95"/>
    </row>
    <row r="73" spans="1:14" x14ac:dyDescent="0.2">
      <c r="C73" s="175" t="s">
        <v>299</v>
      </c>
      <c r="D73" s="182">
        <f>SUM(F27:F30)</f>
        <v>0</v>
      </c>
      <c r="I73" s="86"/>
      <c r="J73" s="95"/>
      <c r="K73" s="95"/>
      <c r="L73" s="95"/>
      <c r="M73" s="95"/>
    </row>
    <row r="74" spans="1:14" x14ac:dyDescent="0.2">
      <c r="C74" s="175" t="s">
        <v>267</v>
      </c>
      <c r="D74" s="182">
        <f>F32</f>
        <v>0</v>
      </c>
      <c r="I74" s="86"/>
      <c r="J74" s="95"/>
      <c r="K74" s="95"/>
      <c r="L74" s="95"/>
      <c r="M74" s="95"/>
    </row>
    <row r="75" spans="1:14" x14ac:dyDescent="0.2">
      <c r="C75" s="16" t="s">
        <v>226</v>
      </c>
      <c r="D75" s="182">
        <f>IF(G43="si",L21,0)</f>
        <v>0</v>
      </c>
      <c r="I75" s="86"/>
      <c r="J75" s="95"/>
      <c r="K75" s="95"/>
      <c r="L75" s="95"/>
      <c r="M75" s="95"/>
    </row>
    <row r="76" spans="1:14" x14ac:dyDescent="0.2">
      <c r="C76" s="175" t="s">
        <v>300</v>
      </c>
      <c r="D76" s="182">
        <f>SUM(G44:G47)</f>
        <v>0</v>
      </c>
      <c r="I76" s="91"/>
      <c r="J76" s="88"/>
      <c r="K76" s="87"/>
      <c r="L76" s="87"/>
      <c r="M76" s="95"/>
    </row>
    <row r="77" spans="1:14" x14ac:dyDescent="0.2">
      <c r="C77" s="16" t="s">
        <v>216</v>
      </c>
      <c r="D77" s="182">
        <f>G48+G49</f>
        <v>0</v>
      </c>
      <c r="I77" s="89"/>
      <c r="J77" s="89"/>
      <c r="K77" s="89"/>
      <c r="L77" s="89"/>
      <c r="M77" s="95"/>
    </row>
    <row r="78" spans="1:14" x14ac:dyDescent="0.2">
      <c r="C78" s="16" t="s">
        <v>218</v>
      </c>
      <c r="D78" s="182">
        <f>G50</f>
        <v>0</v>
      </c>
      <c r="I78" s="90"/>
      <c r="J78" s="96"/>
      <c r="K78" s="96"/>
      <c r="L78" s="90"/>
      <c r="M78" s="95"/>
    </row>
    <row r="79" spans="1:14" x14ac:dyDescent="0.2">
      <c r="C79" s="16" t="s">
        <v>211</v>
      </c>
      <c r="D79" s="182">
        <f>SUM(G51:G53)</f>
        <v>0</v>
      </c>
      <c r="I79" s="90"/>
      <c r="J79" s="95"/>
      <c r="K79" s="95"/>
      <c r="L79" s="90"/>
      <c r="M79" s="95"/>
    </row>
    <row r="80" spans="1:14" x14ac:dyDescent="0.2">
      <c r="C80" s="16" t="s">
        <v>212</v>
      </c>
      <c r="D80" s="182">
        <f>G55</f>
        <v>0</v>
      </c>
      <c r="I80" s="90"/>
      <c r="J80" s="95"/>
      <c r="K80" s="95"/>
      <c r="L80" s="90"/>
      <c r="M80" s="95"/>
    </row>
    <row r="81" spans="3:13" x14ac:dyDescent="0.2">
      <c r="C81" s="16" t="s">
        <v>213</v>
      </c>
      <c r="D81" s="182">
        <f>G56</f>
        <v>0</v>
      </c>
      <c r="I81" s="90"/>
      <c r="J81" s="95"/>
      <c r="K81" s="95"/>
      <c r="L81" s="90"/>
      <c r="M81" s="95"/>
    </row>
    <row r="82" spans="3:13" x14ac:dyDescent="0.2">
      <c r="C82" s="16" t="s">
        <v>210</v>
      </c>
      <c r="D82" s="182">
        <f>G65</f>
        <v>0</v>
      </c>
      <c r="I82" s="90"/>
      <c r="J82" s="90"/>
      <c r="K82" s="90"/>
      <c r="L82" s="90"/>
      <c r="M82" s="86"/>
    </row>
    <row r="83" spans="3:13" x14ac:dyDescent="0.2">
      <c r="C83" s="16" t="s">
        <v>298</v>
      </c>
      <c r="D83" s="182">
        <f>G60+G54</f>
        <v>0</v>
      </c>
      <c r="I83" s="90"/>
      <c r="J83" s="90"/>
      <c r="K83" s="90"/>
      <c r="L83" s="90"/>
      <c r="M83" s="86"/>
    </row>
    <row r="84" spans="3:13" x14ac:dyDescent="0.2">
      <c r="C84" s="175" t="s">
        <v>217</v>
      </c>
      <c r="D84" s="182">
        <f>G61</f>
        <v>0</v>
      </c>
      <c r="I84" s="19"/>
      <c r="J84" s="19"/>
      <c r="K84" s="19"/>
      <c r="L84" s="19"/>
    </row>
    <row r="85" spans="3:13" x14ac:dyDescent="0.2">
      <c r="C85" s="179" t="s">
        <v>214</v>
      </c>
      <c r="D85" s="4">
        <f>G66</f>
        <v>0</v>
      </c>
      <c r="F85" s="446" t="s">
        <v>138</v>
      </c>
      <c r="G85" s="447"/>
      <c r="I85" s="19"/>
      <c r="J85" s="19"/>
      <c r="K85" s="19"/>
      <c r="L85" s="19"/>
    </row>
    <row r="86" spans="3:13" x14ac:dyDescent="0.2">
      <c r="I86" s="19"/>
      <c r="J86" s="19"/>
      <c r="K86" s="19"/>
      <c r="L86" s="19"/>
    </row>
    <row r="87" spans="3:13" x14ac:dyDescent="0.2">
      <c r="C87" s="296" t="s">
        <v>18</v>
      </c>
      <c r="D87" s="297"/>
      <c r="F87" s="472" t="s">
        <v>122</v>
      </c>
      <c r="G87" s="473"/>
      <c r="I87" s="19"/>
      <c r="J87" s="19"/>
      <c r="K87" s="19"/>
      <c r="L87" s="19"/>
    </row>
    <row r="88" spans="3:13" x14ac:dyDescent="0.2">
      <c r="C88" s="20" t="s">
        <v>20</v>
      </c>
      <c r="D88" s="103">
        <f>'Prezzi smart adaptive lighting'!$F$19*D71+F27*'Prezzi smart adaptive lighting'!F20+SUM(PPP!F28:F31)*'Prezzi smart adaptive lighting'!F21+D74*'Prezzi smart adaptive lighting'!F22+G44*'Prezzi servizi "smart"'!$D$9+SUM(G45:G47)*'Prezzi servizi "smart"'!$D$10+G49*'Prezzi servizi "smart"'!$D$18+G48*'Prezzi servizi "smart"'!$D$17+D78*'Prezzi servizi "smart"'!$D$19+G51*'Prezzi servizi "smart"'!$D$25+G52*'Prezzi servizi "smart"'!$D$26+G53*'Prezzi servizi "smart"'!$D$27+D80*'Prezzi servizi "smart"'!$D$33+D81*'Prezzi servizi "smart"'!$D$34+D82*'Prezzi servizi "smart"'!$I$4+G54*'Prezzi servizi "smart"'!$I$11+G60*'Prezzi servizi "smart"'!$I$12+D84*'Prezzi servizi "smart"'!$I$17+D85*'Prezzi servizi "smart"'!$I$5</f>
        <v>0</v>
      </c>
      <c r="F88" s="22" t="s">
        <v>137</v>
      </c>
      <c r="G88" s="125">
        <f>G89*(1-G90)</f>
        <v>0</v>
      </c>
      <c r="I88" s="19"/>
      <c r="J88" s="19"/>
      <c r="K88" s="19"/>
      <c r="L88" s="19"/>
    </row>
    <row r="89" spans="3:13" x14ac:dyDescent="0.2">
      <c r="C89" s="1" t="s">
        <v>125</v>
      </c>
      <c r="D89" s="104">
        <f>D71*'Prezzi smart adaptive lighting'!F4</f>
        <v>0</v>
      </c>
      <c r="F89" s="1" t="s">
        <v>135</v>
      </c>
      <c r="G89" s="79">
        <f>'Prezzi smart adaptive lighting'!F15*D71</f>
        <v>0</v>
      </c>
      <c r="I89" s="19"/>
      <c r="J89" s="19"/>
      <c r="K89" s="19"/>
      <c r="L89" s="19"/>
    </row>
    <row r="90" spans="3:13" x14ac:dyDescent="0.2">
      <c r="C90" s="93" t="s">
        <v>127</v>
      </c>
      <c r="D90" s="104">
        <f>D72*'Prezzi smart adaptive lighting'!F5</f>
        <v>0</v>
      </c>
      <c r="F90" s="22" t="s">
        <v>21</v>
      </c>
      <c r="G90" s="120">
        <f>IF(E25="si",10%,IF(OR(F27&gt;0,F28&gt;0,F29&gt;0,F30&gt;0,F32&gt;0),10%,0))</f>
        <v>0</v>
      </c>
      <c r="H90" s="18"/>
      <c r="I90" s="18"/>
      <c r="J90" s="18"/>
      <c r="K90" s="18"/>
      <c r="L90" s="18"/>
    </row>
    <row r="91" spans="3:13" x14ac:dyDescent="0.2">
      <c r="C91" s="93" t="s">
        <v>304</v>
      </c>
      <c r="D91" s="104">
        <f>SUM(G27:G30)</f>
        <v>0</v>
      </c>
    </row>
    <row r="92" spans="3:13" x14ac:dyDescent="0.2">
      <c r="C92" s="193" t="s">
        <v>269</v>
      </c>
      <c r="D92" s="79">
        <f>G32</f>
        <v>0</v>
      </c>
      <c r="F92" s="472" t="s">
        <v>23</v>
      </c>
      <c r="G92" s="473"/>
    </row>
    <row r="93" spans="3:13" x14ac:dyDescent="0.2">
      <c r="C93" s="76" t="s">
        <v>227</v>
      </c>
      <c r="D93" s="194">
        <f>D72*'Prezzi servizi "smart"'!C4</f>
        <v>0</v>
      </c>
      <c r="F93" s="20" t="s">
        <v>117</v>
      </c>
      <c r="G93" s="97">
        <v>0.14000000000000001</v>
      </c>
    </row>
    <row r="94" spans="3:13" x14ac:dyDescent="0.2">
      <c r="C94" s="93" t="s">
        <v>305</v>
      </c>
      <c r="D94" s="104">
        <f>SUM(H44:H47)</f>
        <v>0</v>
      </c>
      <c r="F94" s="22" t="s">
        <v>129</v>
      </c>
      <c r="G94" s="24">
        <f>G95*(1+G96)</f>
        <v>0</v>
      </c>
    </row>
    <row r="95" spans="3:13" x14ac:dyDescent="0.2">
      <c r="C95" s="76" t="s">
        <v>219</v>
      </c>
      <c r="D95" s="79">
        <f>H48+H49</f>
        <v>0</v>
      </c>
      <c r="F95" s="21" t="s">
        <v>130</v>
      </c>
      <c r="G95" s="81">
        <f>SUMPRODUCT(D6:D20,E6:E20,G6:G20)</f>
        <v>0</v>
      </c>
    </row>
    <row r="96" spans="3:13" x14ac:dyDescent="0.2">
      <c r="C96" s="76" t="s">
        <v>220</v>
      </c>
      <c r="D96" s="79">
        <f>+H50</f>
        <v>0</v>
      </c>
      <c r="F96" s="22" t="s">
        <v>21</v>
      </c>
      <c r="G96" s="80">
        <f>IF(E25="si",-30%,IF(OR(F27&gt;0,F28&gt;0,F29&gt;0,F30&gt;0),-40%,IF(F32&gt;0,-50%,0)))</f>
        <v>0</v>
      </c>
    </row>
    <row r="97" spans="3:9" x14ac:dyDescent="0.2">
      <c r="C97" s="76" t="s">
        <v>221</v>
      </c>
      <c r="D97" s="79">
        <f>+SUM(H51:H53)</f>
        <v>0</v>
      </c>
      <c r="H97" s="160"/>
    </row>
    <row r="98" spans="3:9" x14ac:dyDescent="0.2">
      <c r="C98" s="76" t="s">
        <v>222</v>
      </c>
      <c r="D98" s="79">
        <f>+H55</f>
        <v>0</v>
      </c>
      <c r="F98" s="472" t="s">
        <v>281</v>
      </c>
      <c r="G98" s="473"/>
      <c r="H98" s="159"/>
      <c r="I98" s="312"/>
    </row>
    <row r="99" spans="3:9" x14ac:dyDescent="0.2">
      <c r="C99" s="76" t="s">
        <v>223</v>
      </c>
      <c r="D99" s="79">
        <f>H56</f>
        <v>0</v>
      </c>
      <c r="F99" s="74" t="s">
        <v>282</v>
      </c>
      <c r="G99" s="301">
        <v>5.1346022727272684</v>
      </c>
      <c r="H99" s="159"/>
    </row>
    <row r="100" spans="3:9" x14ac:dyDescent="0.2">
      <c r="C100" s="76" t="s">
        <v>307</v>
      </c>
      <c r="D100" s="79">
        <f>H65</f>
        <v>0</v>
      </c>
      <c r="F100" s="82" t="s">
        <v>283</v>
      </c>
      <c r="G100" s="300">
        <f>(G95-G94)</f>
        <v>0</v>
      </c>
      <c r="H100" s="160"/>
    </row>
    <row r="101" spans="3:9" x14ac:dyDescent="0.2">
      <c r="C101" s="76" t="s">
        <v>303</v>
      </c>
      <c r="D101" s="79">
        <f>H60+H54</f>
        <v>0</v>
      </c>
      <c r="F101" s="82" t="s">
        <v>285</v>
      </c>
      <c r="G101" s="172">
        <v>0.38500000000000001</v>
      </c>
      <c r="H101" s="17"/>
    </row>
    <row r="102" spans="3:9" x14ac:dyDescent="0.2">
      <c r="C102" s="193" t="s">
        <v>224</v>
      </c>
      <c r="D102" s="79">
        <f>H61</f>
        <v>0</v>
      </c>
      <c r="F102" s="22" t="s">
        <v>286</v>
      </c>
      <c r="G102" s="310">
        <f>G100*G101*G99/1000</f>
        <v>0</v>
      </c>
      <c r="H102" s="161"/>
    </row>
    <row r="103" spans="3:9" x14ac:dyDescent="0.2">
      <c r="C103" s="76" t="s">
        <v>225</v>
      </c>
      <c r="D103" s="79">
        <f>H66</f>
        <v>0</v>
      </c>
      <c r="H103" s="161"/>
    </row>
    <row r="104" spans="3:9" x14ac:dyDescent="0.2">
      <c r="C104" s="76" t="s">
        <v>231</v>
      </c>
      <c r="D104" s="79">
        <f>IF(G43="si",'Prezzi servizi "smart"'!D4*D71,0)</f>
        <v>0</v>
      </c>
      <c r="F104" s="472" t="s">
        <v>123</v>
      </c>
      <c r="G104" s="473"/>
      <c r="H104" s="162"/>
    </row>
    <row r="105" spans="3:9" x14ac:dyDescent="0.2">
      <c r="C105" s="93" t="s">
        <v>323</v>
      </c>
      <c r="D105" s="79">
        <f>(F28)*(IF(I28='Prezzi smart adaptive lighting'!B16,'Prezzi smart adaptive lighting'!C16,IF(I28='Prezzi smart adaptive lighting'!B17,'Prezzi smart adaptive lighting'!C17,IF(I28='Prezzi smart adaptive lighting'!B18,'Prezzi smart adaptive lighting'!C18,IF(I28='Prezzi smart adaptive lighting'!B19,'Prezzi smart adaptive lighting'!C19,'Prezzi smart adaptive lighting'!C20)))))+(F29)*(IF(I29='Prezzi smart adaptive lighting'!B16,'Prezzi smart adaptive lighting'!C16,IF(I29='Prezzi smart adaptive lighting'!B17,'Prezzi smart adaptive lighting'!C17,IF(I29='Prezzi smart adaptive lighting'!B18,'Prezzi smart adaptive lighting'!C18,IF(I29='Prezzi smart adaptive lighting'!B19,'Prezzi smart adaptive lighting'!C19,'Prezzi smart adaptive lighting'!C20)))))+(F29)*(IF(J29='Prezzi smart adaptive lighting'!B16,'Prezzi smart adaptive lighting'!C16,IF(J29='Prezzi smart adaptive lighting'!B17,'Prezzi smart adaptive lighting'!C17,IF(J29='Prezzi smart adaptive lighting'!B18,'Prezzi smart adaptive lighting'!C18,IF(J29='Prezzi smart adaptive lighting'!B19,'Prezzi smart adaptive lighting'!C19,'Prezzi smart adaptive lighting'!C20)))))+(F30)*(IF(I30='Prezzi smart adaptive lighting'!B16,'Prezzi smart adaptive lighting'!C16,IF(I30='Prezzi smart adaptive lighting'!B17,'Prezzi smart adaptive lighting'!C17,IF(I30='Prezzi smart adaptive lighting'!B18,'Prezzi smart adaptive lighting'!C18,IF(I30='Prezzi smart adaptive lighting'!B19,'Prezzi smart adaptive lighting'!C19,'Prezzi smart adaptive lighting'!C20)))))+(F30)*(IF(J30='Prezzi smart adaptive lighting'!B16,'Prezzi smart adaptive lighting'!C16,IF(J30='Prezzi smart adaptive lighting'!B17,'Prezzi smart adaptive lighting'!C17,IF(J30='Prezzi smart adaptive lighting'!B18,'Prezzi smart adaptive lighting'!C18,IF(J30='Prezzi smart adaptive lighting'!B19,'Prezzi smart adaptive lighting'!C19,'Prezzi smart adaptive lighting'!C20)))))+(F30)*(IF(K30='Prezzi smart adaptive lighting'!B16,'Prezzi smart adaptive lighting'!C16,IF(K30='Prezzi smart adaptive lighting'!B17,'Prezzi smart adaptive lighting'!C17,IF(K30='Prezzi smart adaptive lighting'!B18,'Prezzi smart adaptive lighting'!C18,IF(K30='Prezzi smart adaptive lighting'!B19,'Prezzi smart adaptive lighting'!C19,'Prezzi smart adaptive lighting'!C20)))))</f>
        <v>0</v>
      </c>
      <c r="E105" t="s">
        <v>345</v>
      </c>
      <c r="F105" s="133" t="s">
        <v>232</v>
      </c>
      <c r="G105" s="100">
        <f>D72*'Prezzi smart adaptive lighting'!F11</f>
        <v>0</v>
      </c>
      <c r="H105" s="161"/>
    </row>
    <row r="106" spans="3:9" x14ac:dyDescent="0.2">
      <c r="C106" s="93" t="s">
        <v>324</v>
      </c>
      <c r="D106" s="79">
        <f>(G45)*(IF(I45='Prezzi smart adaptive lighting'!B16,'Prezzi smart adaptive lighting'!C16,IF(I45='Prezzi smart adaptive lighting'!B17,'Prezzi smart adaptive lighting'!C17,IF(I45='Prezzi smart adaptive lighting'!B18,'Prezzi smart adaptive lighting'!C18,IF(I45='Prezzi smart adaptive lighting'!B19,'Prezzi smart adaptive lighting'!C19,'Prezzi smart adaptive lighting'!C20)))))+(G46)*(IF(I46='Prezzi smart adaptive lighting'!B16,'Prezzi smart adaptive lighting'!C16,IF(I46='Prezzi smart adaptive lighting'!B17,'Prezzi smart adaptive lighting'!C17,IF(I46='Prezzi smart adaptive lighting'!B18,'Prezzi smart adaptive lighting'!C18,IF(I46='Prezzi smart adaptive lighting'!B19,'Prezzi smart adaptive lighting'!C19,'Prezzi smart adaptive lighting'!C20)))))+(G46)*(IF(J46='Prezzi smart adaptive lighting'!B16,'Prezzi smart adaptive lighting'!C16,IF(J46='Prezzi smart adaptive lighting'!B17,'Prezzi smart adaptive lighting'!C17,IF(J46='Prezzi smart adaptive lighting'!B18,'Prezzi smart adaptive lighting'!C18,IF(J46='Prezzi smart adaptive lighting'!B19,'Prezzi smart adaptive lighting'!C19,'Prezzi smart adaptive lighting'!C20)))))+(G47)*(IF(I47='Prezzi smart adaptive lighting'!B16,'Prezzi smart adaptive lighting'!C16,IF(I47='Prezzi smart adaptive lighting'!B17,'Prezzi smart adaptive lighting'!C17,IF(I47='Prezzi smart adaptive lighting'!B18,'Prezzi smart adaptive lighting'!C18,IF(I47='Prezzi smart adaptive lighting'!B19,'Prezzi smart adaptive lighting'!C19,'Prezzi smart adaptive lighting'!C20)))))+(G47)*(IF(J47='Prezzi smart adaptive lighting'!B16,'Prezzi smart adaptive lighting'!C16,IF(J47='Prezzi smart adaptive lighting'!B17,'Prezzi smart adaptive lighting'!C17,IF(J47='Prezzi smart adaptive lighting'!B18,'Prezzi smart adaptive lighting'!C18,IF(J47='Prezzi smart adaptive lighting'!B19,'Prezzi smart adaptive lighting'!C19,'Prezzi smart adaptive lighting'!C20)))))+(G47)*(IF(K47='Prezzi smart adaptive lighting'!B16,'Prezzi smart adaptive lighting'!C16,IF(K47='Prezzi smart adaptive lighting'!B17,'Prezzi smart adaptive lighting'!C17,IF(K47='Prezzi smart adaptive lighting'!B18,'Prezzi smart adaptive lighting'!C18,IF(K47='Prezzi smart adaptive lighting'!B19,'Prezzi smart adaptive lighting'!C19,'Prezzi smart adaptive lighting'!C20)))))+(G49)*'Prezzi smart adaptive lighting'!$C$19+(G54)*'Prezzi smart adaptive lighting'!$C$20</f>
        <v>0</v>
      </c>
      <c r="E106" t="s">
        <v>345</v>
      </c>
      <c r="F106" s="93" t="s">
        <v>233</v>
      </c>
      <c r="G106" s="291">
        <f>IF(OR(G60&gt;0,G61&gt;0,G66&gt;0),50000,0)</f>
        <v>0</v>
      </c>
      <c r="H106" s="161" t="s">
        <v>241</v>
      </c>
    </row>
    <row r="107" spans="3:9" x14ac:dyDescent="0.2">
      <c r="C107" s="93" t="s">
        <v>271</v>
      </c>
      <c r="D107" s="79">
        <f>IF(G107="si",10000,0)</f>
        <v>0</v>
      </c>
      <c r="E107" t="s">
        <v>272</v>
      </c>
      <c r="F107" s="16" t="s">
        <v>273</v>
      </c>
      <c r="G107" s="289" t="s">
        <v>119</v>
      </c>
      <c r="H107" s="161"/>
    </row>
    <row r="108" spans="3:9" x14ac:dyDescent="0.2">
      <c r="C108" s="3" t="s">
        <v>346</v>
      </c>
      <c r="D108" s="259"/>
      <c r="F108" s="21" t="s">
        <v>274</v>
      </c>
      <c r="G108" s="290"/>
      <c r="H108" s="161" t="s">
        <v>39</v>
      </c>
    </row>
    <row r="109" spans="3:9" x14ac:dyDescent="0.2">
      <c r="C109" s="121" t="s">
        <v>165</v>
      </c>
      <c r="D109" s="122">
        <f>SUM(D88:D108)</f>
        <v>0</v>
      </c>
      <c r="F109" s="21" t="s">
        <v>164</v>
      </c>
      <c r="G109" s="292">
        <f>IF(E37="si",E39,'Prezzi smart adaptive lighting'!C15*D71)*IF(F27&gt;0,(1.1),1)*IF(F32&gt;0,(1.2),1)+IF(E37="si",E39,'Prezzi smart adaptive lighting'!C15*D71)*IF(COUNTBLANK(G44)+COUNTBLANK(G48)+COUNTBLANK(G50:G53)+COUNTBLANK(G55:G56)+COUNTBLANK(G60:G61)+COUNTBLANK(G65:G66)=11,(1.1),0)+IF(E37="si",E39,'Prezzi smart adaptive lighting'!C15*D71)*IF(COUNTBLANK(G44)+COUNTBLANK(G48)+COUNTBLANK(G50:G53)+COUNTBLANK(G55:G56)+COUNTBLANK(G60:G61)+COUNTBLANK(G65:G66)=10,(1.2),0)+IF(E37="si",E39,'Prezzi smart adaptive lighting'!C15*D71)*IF(COUNTBLANK(G44)+COUNTBLANK(G48)+COUNTBLANK(G50:G53)+COUNTBLANK(G55:G56)+COUNTBLANK(G60:G61)+COUNTBLANK(G65:G66)&lt;=9,(1.3),0)+IF(D75&gt;0,500,0)+IF(G107="si",G108,0)</f>
        <v>0</v>
      </c>
      <c r="H109" s="161"/>
    </row>
    <row r="110" spans="3:9" x14ac:dyDescent="0.2">
      <c r="C110" s="82" t="s">
        <v>154</v>
      </c>
      <c r="D110" s="172">
        <v>15</v>
      </c>
      <c r="H110" s="161"/>
    </row>
    <row r="111" spans="3:9" x14ac:dyDescent="0.2">
      <c r="H111" s="161"/>
    </row>
    <row r="112" spans="3:9" x14ac:dyDescent="0.2">
      <c r="H112" s="18"/>
    </row>
    <row r="113" spans="3:19" x14ac:dyDescent="0.2">
      <c r="C113" s="446" t="s">
        <v>0</v>
      </c>
      <c r="D113" s="447"/>
    </row>
    <row r="114" spans="3:19" x14ac:dyDescent="0.2">
      <c r="C114" s="20" t="s">
        <v>180</v>
      </c>
      <c r="D114" s="83">
        <v>0.4</v>
      </c>
    </row>
    <row r="115" spans="3:19" x14ac:dyDescent="0.2">
      <c r="C115" s="9" t="s">
        <v>155</v>
      </c>
      <c r="D115" s="134">
        <v>0.13780000000000001</v>
      </c>
    </row>
    <row r="116" spans="3:19" x14ac:dyDescent="0.2">
      <c r="C116" s="1" t="s">
        <v>159</v>
      </c>
      <c r="D116" s="117">
        <v>0.5</v>
      </c>
      <c r="E116" s="72" t="str">
        <f>IF((D116+D117+D118)&lt;1,"ATTENZIONE! Controllare valore","ok")</f>
        <v>ok</v>
      </c>
    </row>
    <row r="117" spans="3:19" x14ac:dyDescent="0.2">
      <c r="C117" s="1" t="s">
        <v>160</v>
      </c>
      <c r="D117" s="118">
        <v>0.2</v>
      </c>
      <c r="E117" s="72" t="str">
        <f>IF((D116+D117+D118)&lt;1,"ATTENZIONE! Controllare valore","ok")</f>
        <v>ok</v>
      </c>
    </row>
    <row r="118" spans="3:19" x14ac:dyDescent="0.2">
      <c r="C118" s="93" t="s">
        <v>161</v>
      </c>
      <c r="D118" s="118">
        <v>0.3</v>
      </c>
      <c r="E118" s="72" t="str">
        <f>IF((D116+D117+D118)&lt;1,"ATTENZIONE! Controllare valore","ok")</f>
        <v>ok</v>
      </c>
    </row>
    <row r="119" spans="3:19" x14ac:dyDescent="0.2">
      <c r="C119" s="1" t="s">
        <v>19</v>
      </c>
      <c r="D119" s="117">
        <v>7.0000000000000007E-2</v>
      </c>
    </row>
    <row r="120" spans="3:19" x14ac:dyDescent="0.2">
      <c r="C120" s="1" t="s">
        <v>158</v>
      </c>
      <c r="D120" s="117">
        <v>0.15</v>
      </c>
      <c r="E120" s="101"/>
    </row>
    <row r="121" spans="3:19" x14ac:dyDescent="0.2">
      <c r="C121" s="93" t="s">
        <v>162</v>
      </c>
      <c r="D121" s="118">
        <v>0.03</v>
      </c>
      <c r="E121" s="102"/>
    </row>
    <row r="122" spans="3:19" x14ac:dyDescent="0.2">
      <c r="C122" s="22" t="s">
        <v>27</v>
      </c>
      <c r="D122" s="80">
        <f>D116*D119+D117*D120+D118*D121</f>
        <v>7.3999999999999996E-2</v>
      </c>
    </row>
    <row r="124" spans="3:19" s="18" customFormat="1" ht="13.75" customHeight="1" x14ac:dyDescent="0.2"/>
    <row r="125" spans="3:19" s="18" customFormat="1" x14ac:dyDescent="0.2">
      <c r="C125" s="127"/>
      <c r="D125" s="144"/>
      <c r="F125" s="145"/>
    </row>
    <row r="126" spans="3:19" x14ac:dyDescent="0.2">
      <c r="C126" s="148" t="s">
        <v>389</v>
      </c>
    </row>
    <row r="128" spans="3:19" x14ac:dyDescent="0.2">
      <c r="C128" s="5" t="s">
        <v>2</v>
      </c>
      <c r="D128" s="6">
        <v>0</v>
      </c>
      <c r="E128" s="6">
        <v>1</v>
      </c>
      <c r="F128" s="6">
        <v>2</v>
      </c>
      <c r="G128" s="6">
        <v>3</v>
      </c>
      <c r="H128" s="6">
        <v>4</v>
      </c>
      <c r="I128" s="6">
        <v>5</v>
      </c>
      <c r="J128" s="6">
        <v>6</v>
      </c>
      <c r="K128" s="6">
        <v>7</v>
      </c>
      <c r="L128" s="6">
        <v>8</v>
      </c>
      <c r="M128" s="6">
        <v>9</v>
      </c>
      <c r="N128" s="6">
        <v>10</v>
      </c>
      <c r="O128" s="6">
        <v>11</v>
      </c>
      <c r="P128" s="6">
        <v>12</v>
      </c>
      <c r="Q128" s="6">
        <v>13</v>
      </c>
      <c r="R128" s="6">
        <v>14</v>
      </c>
      <c r="S128" s="6">
        <v>15</v>
      </c>
    </row>
    <row r="129" spans="3:24" x14ac:dyDescent="0.2">
      <c r="C129" s="72" t="s">
        <v>167</v>
      </c>
      <c r="D129" s="142">
        <f>D109*(1+D115)*(D116+D117)</f>
        <v>0</v>
      </c>
    </row>
    <row r="130" spans="3:24" x14ac:dyDescent="0.2">
      <c r="C130" s="72" t="s">
        <v>168</v>
      </c>
      <c r="E130" s="142">
        <f>$G$105+$G$106+$G$109+IF($G$60&gt;0,0.1*($H$60+$G$60*'Prezzi servizi "smart"'!$I$12),0)+IF(PPP!$G$61&gt;0,0.1*(PPP!$D$102+PPP!$G$61*'Prezzi servizi "smart"'!$I$17),0)</f>
        <v>0</v>
      </c>
      <c r="F130" s="142">
        <f>$G$105+$G$106+$G$109+IF($G$60&gt;0,0.1*($H$60+$G$60*'Prezzi servizi "smart"'!$I$12),0)+IF(PPP!$G$61&gt;0,0.1*(PPP!$D$102+PPP!$G$61*'Prezzi servizi "smart"'!$I$17),0)</f>
        <v>0</v>
      </c>
      <c r="G130" s="142">
        <f>$G$105+$G$106+$G$109+IF($G$60&gt;0,0.1*($H$60+$G$60*'Prezzi servizi "smart"'!$I$12),0)+IF(PPP!$G$61&gt;0,0.1*(PPP!$D$102+PPP!$G$61*'Prezzi servizi "smart"'!$I$17),0)</f>
        <v>0</v>
      </c>
      <c r="H130" s="142">
        <f>$G$105+$G$106+$G$109+IF($G$60&gt;0,0.1*($H$60+$G$60*'Prezzi servizi "smart"'!$I$12),0)+IF(PPP!$G$61&gt;0,0.1*(PPP!$D$102+PPP!$G$61*'Prezzi servizi "smart"'!$I$17),0)</f>
        <v>0</v>
      </c>
      <c r="I130" s="142">
        <f>$G$105+$G$106+$G$109+IF($G$60&gt;0,0.1*($H$60+$G$60*'Prezzi servizi "smart"'!$I$12),0)+IF(PPP!$G$61&gt;0,0.1*(PPP!$D$102+PPP!$G$61*'Prezzi servizi "smart"'!$I$17),0)</f>
        <v>0</v>
      </c>
      <c r="J130" s="142">
        <f>$G$105+$G$106+$G$109+IF($G$60&gt;0,0.1*($H$60+$G$60*'Prezzi servizi "smart"'!$I$12),0)+IF(PPP!$G$61&gt;0,0.1*(PPP!$D$102+PPP!$G$61*'Prezzi servizi "smart"'!$I$17),0)</f>
        <v>0</v>
      </c>
      <c r="K130" s="142">
        <f>$G$105+$G$106+$G$109+IF($G$60&gt;0,0.1*($H$60+$G$60*'Prezzi servizi "smart"'!$I$12),0)+IF(PPP!$G$61&gt;0,0.1*(PPP!$D$102+PPP!$G$61*'Prezzi servizi "smart"'!$I$17),0)</f>
        <v>0</v>
      </c>
      <c r="L130" s="142">
        <f>$G$105+$G$106+$G$109+IF($G$60&gt;0,0.1*($H$60+$G$60*'Prezzi servizi "smart"'!$I$12),0)+IF(PPP!$G$61&gt;0,0.1*(PPP!$D$102+PPP!$G$61*'Prezzi servizi "smart"'!$I$17),0)</f>
        <v>0</v>
      </c>
      <c r="M130" s="142">
        <f>$G$105+$G$106+$G$109+IF($G$60&gt;0,0.1*($H$60+$G$60*'Prezzi servizi "smart"'!$I$12),0)+IF(PPP!$G$61&gt;0,0.1*(PPP!$D$102+PPP!$G$61*'Prezzi servizi "smart"'!$I$17),0)</f>
        <v>0</v>
      </c>
      <c r="N130" s="142">
        <f>$G$105+$G$106+$G$109+IF($G$60&gt;0,0.1*($H$60+$G$60*'Prezzi servizi "smart"'!$I$12),0)+IF(PPP!$G$61&gt;0,0.1*(PPP!$D$102+PPP!$G$61*'Prezzi servizi "smart"'!$I$17),0)</f>
        <v>0</v>
      </c>
      <c r="O130" s="142">
        <f>$G$105+$G$106+$G$109+IF($G$60&gt;0,0.1*($H$60+$G$60*'Prezzi servizi "smart"'!$I$12),0)+IF(PPP!$G$61&gt;0,0.1*(PPP!$D$102+PPP!$G$61*'Prezzi servizi "smart"'!$I$17),0)</f>
        <v>0</v>
      </c>
      <c r="P130" s="142">
        <f>$G$105+$G$106+$G$109+IF($G$60&gt;0,0.1*($H$60+$G$60*'Prezzi servizi "smart"'!$I$12),0)+IF(PPP!$G$61&gt;0,0.1*(PPP!$D$102+PPP!$G$61*'Prezzi servizi "smart"'!$I$17),0)</f>
        <v>0</v>
      </c>
      <c r="Q130" s="142">
        <f>$G$105+$G$106+$G$109+IF($G$60&gt;0,0.1*($H$60+$G$60*'Prezzi servizi "smart"'!$I$12),0)+IF(PPP!$G$61&gt;0,0.1*(PPP!$D$102+PPP!$G$61*'Prezzi servizi "smart"'!$I$17),0)</f>
        <v>0</v>
      </c>
      <c r="R130" s="142">
        <f>$G$105+$G$106+$G$109+IF($G$60&gt;0,0.1*($H$60+$G$60*'Prezzi servizi "smart"'!$I$12),0)+IF(PPP!$G$61&gt;0,0.1*(PPP!$D$102+PPP!$G$61*'Prezzi servizi "smart"'!$I$17),0)</f>
        <v>0</v>
      </c>
      <c r="S130" s="142">
        <f>$G$105+$G$106+$G$109+IF($G$60&gt;0,0.1*($H$60+$G$60*'Prezzi servizi "smart"'!$I$12),0)+IF(PPP!$G$61&gt;0,0.1*(PPP!$D$102+PPP!$G$61*'Prezzi servizi "smart"'!$I$17),0)</f>
        <v>0</v>
      </c>
      <c r="T130" s="142"/>
      <c r="U130" s="142"/>
    </row>
    <row r="131" spans="3:24" ht="16" thickBot="1" x14ac:dyDescent="0.25">
      <c r="C131" s="72" t="s">
        <v>169</v>
      </c>
      <c r="D131" s="142">
        <f>D129/(1+$D$120)^D128</f>
        <v>0</v>
      </c>
      <c r="E131" s="142">
        <f t="shared" ref="E131:S131" si="3">E130/(1+$D$120)^E128</f>
        <v>0</v>
      </c>
      <c r="F131" s="142">
        <f t="shared" si="3"/>
        <v>0</v>
      </c>
      <c r="G131" s="142">
        <f t="shared" si="3"/>
        <v>0</v>
      </c>
      <c r="H131" s="142">
        <f t="shared" si="3"/>
        <v>0</v>
      </c>
      <c r="I131" s="142">
        <f t="shared" si="3"/>
        <v>0</v>
      </c>
      <c r="J131" s="142">
        <f t="shared" si="3"/>
        <v>0</v>
      </c>
      <c r="K131" s="142">
        <f t="shared" si="3"/>
        <v>0</v>
      </c>
      <c r="L131" s="142">
        <f t="shared" si="3"/>
        <v>0</v>
      </c>
      <c r="M131" s="142">
        <f t="shared" si="3"/>
        <v>0</v>
      </c>
      <c r="N131" s="142">
        <f t="shared" si="3"/>
        <v>0</v>
      </c>
      <c r="O131" s="142">
        <f t="shared" si="3"/>
        <v>0</v>
      </c>
      <c r="P131" s="142">
        <f t="shared" si="3"/>
        <v>0</v>
      </c>
      <c r="Q131" s="142">
        <f t="shared" si="3"/>
        <v>0</v>
      </c>
      <c r="R131" s="142">
        <f t="shared" si="3"/>
        <v>0</v>
      </c>
      <c r="S131" s="142">
        <f t="shared" si="3"/>
        <v>0</v>
      </c>
    </row>
    <row r="132" spans="3:24" ht="16" thickBot="1" x14ac:dyDescent="0.25">
      <c r="C132" s="25" t="s">
        <v>348</v>
      </c>
      <c r="D132" s="163">
        <f>SUM(D131:S131)</f>
        <v>0</v>
      </c>
      <c r="E132" s="72" t="s">
        <v>352</v>
      </c>
    </row>
    <row r="133" spans="3:24" ht="16" thickBot="1" x14ac:dyDescent="0.25"/>
    <row r="134" spans="3:24" ht="16" thickBot="1" x14ac:dyDescent="0.25">
      <c r="C134" s="149" t="s">
        <v>174</v>
      </c>
      <c r="D134" s="155"/>
      <c r="E134" s="72" t="s">
        <v>353</v>
      </c>
      <c r="F134" s="25" t="s">
        <v>176</v>
      </c>
      <c r="G134" s="174"/>
    </row>
    <row r="135" spans="3:24" ht="16" thickBot="1" x14ac:dyDescent="0.25">
      <c r="C135" s="150" t="s">
        <v>157</v>
      </c>
      <c r="D135" s="151" t="e">
        <f>D134/D71</f>
        <v>#DIV/0!</v>
      </c>
    </row>
    <row r="137" spans="3:24" x14ac:dyDescent="0.2">
      <c r="C137" s="5" t="s">
        <v>2</v>
      </c>
      <c r="D137" s="6">
        <v>0</v>
      </c>
      <c r="E137" s="6">
        <v>1</v>
      </c>
      <c r="F137" s="6">
        <v>2</v>
      </c>
      <c r="G137" s="6">
        <v>3</v>
      </c>
      <c r="H137" s="6">
        <v>4</v>
      </c>
      <c r="I137" s="6">
        <v>5</v>
      </c>
      <c r="J137" s="6">
        <v>6</v>
      </c>
      <c r="K137" s="6">
        <v>7</v>
      </c>
      <c r="L137" s="6">
        <v>8</v>
      </c>
      <c r="M137" s="6">
        <v>9</v>
      </c>
      <c r="N137" s="6">
        <v>10</v>
      </c>
      <c r="O137" s="6">
        <v>11</v>
      </c>
      <c r="P137" s="6">
        <v>12</v>
      </c>
      <c r="Q137" s="6">
        <v>13</v>
      </c>
      <c r="R137" s="6">
        <v>14</v>
      </c>
      <c r="S137" s="6">
        <v>15</v>
      </c>
    </row>
    <row r="138" spans="3:24" x14ac:dyDescent="0.2">
      <c r="C138" s="72" t="s">
        <v>156</v>
      </c>
      <c r="D138" s="143"/>
      <c r="E138" s="143">
        <f>$D$134</f>
        <v>0</v>
      </c>
      <c r="F138" s="143">
        <f t="shared" ref="F138:S138" si="4">$D$134</f>
        <v>0</v>
      </c>
      <c r="G138" s="143">
        <f t="shared" si="4"/>
        <v>0</v>
      </c>
      <c r="H138" s="143">
        <f t="shared" si="4"/>
        <v>0</v>
      </c>
      <c r="I138" s="143">
        <f t="shared" si="4"/>
        <v>0</v>
      </c>
      <c r="J138" s="143">
        <f t="shared" si="4"/>
        <v>0</v>
      </c>
      <c r="K138" s="143">
        <f t="shared" si="4"/>
        <v>0</v>
      </c>
      <c r="L138" s="143">
        <f t="shared" si="4"/>
        <v>0</v>
      </c>
      <c r="M138" s="143">
        <f t="shared" si="4"/>
        <v>0</v>
      </c>
      <c r="N138" s="143">
        <f t="shared" si="4"/>
        <v>0</v>
      </c>
      <c r="O138" s="143">
        <f t="shared" si="4"/>
        <v>0</v>
      </c>
      <c r="P138" s="143">
        <f t="shared" si="4"/>
        <v>0</v>
      </c>
      <c r="Q138" s="143">
        <f t="shared" si="4"/>
        <v>0</v>
      </c>
      <c r="R138" s="143">
        <f t="shared" si="4"/>
        <v>0</v>
      </c>
      <c r="S138" s="143">
        <f t="shared" si="4"/>
        <v>0</v>
      </c>
    </row>
    <row r="139" spans="3:24" x14ac:dyDescent="0.2">
      <c r="C139" s="72" t="s">
        <v>170</v>
      </c>
      <c r="E139" s="142">
        <f t="shared" ref="E139:S139" si="5">E138/(1+$D$120)^E137</f>
        <v>0</v>
      </c>
      <c r="F139" s="142">
        <f t="shared" si="5"/>
        <v>0</v>
      </c>
      <c r="G139" s="142">
        <f t="shared" si="5"/>
        <v>0</v>
      </c>
      <c r="H139" s="142">
        <f t="shared" si="5"/>
        <v>0</v>
      </c>
      <c r="I139" s="142">
        <f t="shared" si="5"/>
        <v>0</v>
      </c>
      <c r="J139" s="142">
        <f t="shared" si="5"/>
        <v>0</v>
      </c>
      <c r="K139" s="142">
        <f t="shared" si="5"/>
        <v>0</v>
      </c>
      <c r="L139" s="142">
        <f t="shared" si="5"/>
        <v>0</v>
      </c>
      <c r="M139" s="142">
        <f t="shared" si="5"/>
        <v>0</v>
      </c>
      <c r="N139" s="142">
        <f t="shared" si="5"/>
        <v>0</v>
      </c>
      <c r="O139" s="142">
        <f t="shared" si="5"/>
        <v>0</v>
      </c>
      <c r="P139" s="142">
        <f t="shared" si="5"/>
        <v>0</v>
      </c>
      <c r="Q139" s="142">
        <f t="shared" si="5"/>
        <v>0</v>
      </c>
      <c r="R139" s="142">
        <f t="shared" si="5"/>
        <v>0</v>
      </c>
      <c r="S139" s="142">
        <f t="shared" si="5"/>
        <v>0</v>
      </c>
    </row>
    <row r="140" spans="3:24" ht="16" thickBot="1" x14ac:dyDescent="0.25"/>
    <row r="141" spans="3:24" ht="16" thickBot="1" x14ac:dyDescent="0.25">
      <c r="C141" s="25" t="s">
        <v>347</v>
      </c>
      <c r="D141" s="158">
        <f>SUM(E139:S139)</f>
        <v>0</v>
      </c>
      <c r="E141" s="72" t="s">
        <v>354</v>
      </c>
    </row>
    <row r="144" spans="3:24" x14ac:dyDescent="0.2">
      <c r="T144" s="18"/>
      <c r="U144" s="132"/>
      <c r="V144" s="18"/>
      <c r="W144" s="18"/>
      <c r="X144" s="18"/>
    </row>
    <row r="145" spans="3:25" x14ac:dyDescent="0.2">
      <c r="C145" s="5" t="s">
        <v>2</v>
      </c>
      <c r="D145" s="6">
        <v>0</v>
      </c>
      <c r="E145" s="6">
        <v>1</v>
      </c>
      <c r="F145" s="6">
        <v>2</v>
      </c>
      <c r="G145" s="6">
        <v>3</v>
      </c>
      <c r="H145" s="6">
        <v>4</v>
      </c>
      <c r="I145" s="6">
        <v>5</v>
      </c>
      <c r="J145" s="6">
        <v>6</v>
      </c>
      <c r="K145" s="6">
        <v>7</v>
      </c>
      <c r="L145" s="6">
        <v>8</v>
      </c>
      <c r="M145" s="6">
        <v>9</v>
      </c>
      <c r="N145" s="6">
        <v>10</v>
      </c>
      <c r="O145" s="6">
        <v>11</v>
      </c>
      <c r="P145" s="6">
        <v>12</v>
      </c>
      <c r="Q145" s="6">
        <v>13</v>
      </c>
      <c r="R145" s="6">
        <v>14</v>
      </c>
      <c r="S145" s="6">
        <v>15</v>
      </c>
      <c r="T145" s="132"/>
      <c r="U145" s="132"/>
      <c r="V145" s="132"/>
      <c r="W145" s="132"/>
      <c r="X145" s="132"/>
    </row>
    <row r="146" spans="3:25" x14ac:dyDescent="0.2">
      <c r="C146" s="7" t="s">
        <v>3</v>
      </c>
      <c r="D146" s="8"/>
      <c r="E146" s="8"/>
      <c r="F146" s="8"/>
      <c r="G146" s="8"/>
      <c r="H146" s="8"/>
      <c r="I146" s="8"/>
      <c r="J146" s="8"/>
      <c r="K146" s="8"/>
      <c r="L146" s="8"/>
      <c r="M146" s="8"/>
      <c r="N146" s="8"/>
      <c r="O146" s="8"/>
      <c r="P146" s="8"/>
      <c r="Q146" s="8"/>
      <c r="R146" s="8"/>
      <c r="S146" s="8"/>
      <c r="T146" s="18"/>
      <c r="U146" s="18"/>
      <c r="V146" s="18"/>
      <c r="W146" s="18"/>
      <c r="X146" s="18"/>
    </row>
    <row r="147" spans="3:25" x14ac:dyDescent="0.2">
      <c r="C147" s="9" t="s">
        <v>134</v>
      </c>
      <c r="D147" s="173">
        <f>-D109*(D116+D117)</f>
        <v>0</v>
      </c>
      <c r="E147" s="10"/>
      <c r="F147" s="10"/>
      <c r="G147" s="10"/>
      <c r="H147" s="10"/>
      <c r="I147" s="10"/>
      <c r="J147" s="10"/>
      <c r="K147" s="10"/>
      <c r="L147" s="10"/>
      <c r="M147" s="10"/>
      <c r="N147" s="10"/>
      <c r="O147" s="10"/>
      <c r="P147" s="10"/>
      <c r="Q147" s="10"/>
      <c r="R147" s="10"/>
      <c r="S147" s="10"/>
      <c r="T147" s="18"/>
      <c r="U147" s="18"/>
      <c r="V147" s="18"/>
      <c r="W147" s="18"/>
      <c r="X147" s="18"/>
    </row>
    <row r="148" spans="3:25" x14ac:dyDescent="0.2">
      <c r="C148" s="7" t="s">
        <v>4</v>
      </c>
      <c r="D148" s="8"/>
      <c r="E148" s="8"/>
      <c r="F148" s="8"/>
      <c r="G148" s="8"/>
      <c r="H148" s="8"/>
      <c r="I148" s="8"/>
      <c r="J148" s="8"/>
      <c r="K148" s="8"/>
      <c r="L148" s="8"/>
      <c r="M148" s="8"/>
      <c r="N148" s="8"/>
      <c r="O148" s="8"/>
      <c r="P148" s="8"/>
      <c r="Q148" s="8"/>
      <c r="R148" s="8"/>
      <c r="S148" s="8"/>
      <c r="T148" s="18"/>
      <c r="U148" s="18"/>
      <c r="V148" s="18"/>
      <c r="W148" s="18"/>
      <c r="X148" s="18"/>
    </row>
    <row r="149" spans="3:25" s="101" customFormat="1" x14ac:dyDescent="0.2">
      <c r="C149" s="105" t="s">
        <v>156</v>
      </c>
      <c r="D149" s="106"/>
      <c r="E149" s="106">
        <f>$G$134</f>
        <v>0</v>
      </c>
      <c r="F149" s="106">
        <f t="shared" ref="F149:S149" si="6">$G$134</f>
        <v>0</v>
      </c>
      <c r="G149" s="106">
        <f t="shared" si="6"/>
        <v>0</v>
      </c>
      <c r="H149" s="106">
        <f t="shared" si="6"/>
        <v>0</v>
      </c>
      <c r="I149" s="106">
        <f t="shared" si="6"/>
        <v>0</v>
      </c>
      <c r="J149" s="106">
        <f t="shared" si="6"/>
        <v>0</v>
      </c>
      <c r="K149" s="106">
        <f t="shared" si="6"/>
        <v>0</v>
      </c>
      <c r="L149" s="106">
        <f t="shared" si="6"/>
        <v>0</v>
      </c>
      <c r="M149" s="106">
        <f t="shared" si="6"/>
        <v>0</v>
      </c>
      <c r="N149" s="106">
        <f t="shared" si="6"/>
        <v>0</v>
      </c>
      <c r="O149" s="106">
        <f t="shared" si="6"/>
        <v>0</v>
      </c>
      <c r="P149" s="106">
        <f t="shared" si="6"/>
        <v>0</v>
      </c>
      <c r="Q149" s="106">
        <f t="shared" si="6"/>
        <v>0</v>
      </c>
      <c r="R149" s="106">
        <f t="shared" si="6"/>
        <v>0</v>
      </c>
      <c r="S149" s="106">
        <f t="shared" si="6"/>
        <v>0</v>
      </c>
      <c r="T149" s="140"/>
      <c r="U149" s="140"/>
      <c r="V149" s="140"/>
      <c r="W149" s="140"/>
      <c r="X149" s="140"/>
    </row>
    <row r="150" spans="3:25" s="101" customFormat="1" x14ac:dyDescent="0.2">
      <c r="C150" s="109" t="s">
        <v>5</v>
      </c>
      <c r="D150" s="110"/>
      <c r="E150" s="111">
        <f t="shared" ref="E150:S150" si="7">SUM(E149:E149)</f>
        <v>0</v>
      </c>
      <c r="F150" s="111">
        <f t="shared" si="7"/>
        <v>0</v>
      </c>
      <c r="G150" s="111">
        <f t="shared" si="7"/>
        <v>0</v>
      </c>
      <c r="H150" s="111">
        <f t="shared" si="7"/>
        <v>0</v>
      </c>
      <c r="I150" s="111">
        <f t="shared" si="7"/>
        <v>0</v>
      </c>
      <c r="J150" s="111">
        <f t="shared" si="7"/>
        <v>0</v>
      </c>
      <c r="K150" s="111">
        <f t="shared" si="7"/>
        <v>0</v>
      </c>
      <c r="L150" s="111">
        <f t="shared" si="7"/>
        <v>0</v>
      </c>
      <c r="M150" s="111">
        <f t="shared" si="7"/>
        <v>0</v>
      </c>
      <c r="N150" s="111">
        <f t="shared" si="7"/>
        <v>0</v>
      </c>
      <c r="O150" s="111">
        <f t="shared" si="7"/>
        <v>0</v>
      </c>
      <c r="P150" s="111">
        <f t="shared" si="7"/>
        <v>0</v>
      </c>
      <c r="Q150" s="111">
        <f t="shared" si="7"/>
        <v>0</v>
      </c>
      <c r="R150" s="111">
        <f t="shared" si="7"/>
        <v>0</v>
      </c>
      <c r="S150" s="111">
        <f t="shared" si="7"/>
        <v>0</v>
      </c>
      <c r="T150" s="140"/>
      <c r="U150" s="140"/>
      <c r="V150" s="140"/>
      <c r="W150" s="140"/>
      <c r="X150" s="140"/>
    </row>
    <row r="151" spans="3:25" s="101" customFormat="1" x14ac:dyDescent="0.2">
      <c r="C151" s="7" t="s">
        <v>6</v>
      </c>
      <c r="D151" s="8"/>
      <c r="E151" s="8"/>
      <c r="F151" s="8"/>
      <c r="G151" s="8"/>
      <c r="H151" s="8"/>
      <c r="I151" s="8"/>
      <c r="J151" s="8"/>
      <c r="K151" s="8"/>
      <c r="L151" s="8"/>
      <c r="M151" s="8"/>
      <c r="N151" s="8"/>
      <c r="O151" s="8"/>
      <c r="P151" s="8"/>
      <c r="Q151" s="8"/>
      <c r="R151" s="8"/>
      <c r="S151" s="8"/>
      <c r="T151" s="141"/>
      <c r="U151" s="141"/>
      <c r="V151" s="141"/>
      <c r="W151" s="141"/>
      <c r="X151" s="141"/>
      <c r="Y151" s="108"/>
    </row>
    <row r="152" spans="3:25" x14ac:dyDescent="0.2">
      <c r="C152" s="107" t="s">
        <v>270</v>
      </c>
      <c r="E152" s="152">
        <f>-IF($G$60&gt;0,0.1*($H$60+$G$60*'Prezzi servizi "smart"'!$I$12),0)-IF(PPP!$G$61&gt;0,0.1*(PPP!$D$102+PPP!$G$61*'Prezzi servizi "smart"'!$I$17),0)</f>
        <v>0</v>
      </c>
      <c r="F152" s="152">
        <f>-IF($G$60&gt;0,0.1*($H$60+$G$60*'Prezzi servizi "smart"'!$I$12),0)-IF(PPP!$G$61&gt;0,0.1*(PPP!$D$102+PPP!$G$61*'Prezzi servizi "smart"'!$I$17),0)</f>
        <v>0</v>
      </c>
      <c r="G152" s="152">
        <f>-IF($G$60&gt;0,0.1*($H$60+$G$60*'Prezzi servizi "smart"'!$I$12),0)-IF(PPP!$G$61&gt;0,0.1*(PPP!$D$102+PPP!$G$61*'Prezzi servizi "smart"'!$I$17),0)</f>
        <v>0</v>
      </c>
      <c r="H152" s="152">
        <f>-IF($G$60&gt;0,0.1*($H$60+$G$60*'Prezzi servizi "smart"'!$I$12),0)-IF(PPP!$G$61&gt;0,0.1*(PPP!$D$102+PPP!$G$61*'Prezzi servizi "smart"'!$I$17),0)</f>
        <v>0</v>
      </c>
      <c r="I152" s="152">
        <f>-IF($G$60&gt;0,0.1*($H$60+$G$60*'Prezzi servizi "smart"'!$I$12),0)-IF(PPP!$G$61&gt;0,0.1*(PPP!$D$102+PPP!$G$61*'Prezzi servizi "smart"'!$I$17),0)</f>
        <v>0</v>
      </c>
      <c r="J152" s="152">
        <f>-IF($G$60&gt;0,0.1*($H$60+$G$60*'Prezzi servizi "smart"'!$I$12),0)-IF(PPP!$G$61&gt;0,0.1*(PPP!$D$102+PPP!$G$61*'Prezzi servizi "smart"'!$I$17),0)</f>
        <v>0</v>
      </c>
      <c r="K152" s="152">
        <f>-IF($G$60&gt;0,0.1*($H$60+$G$60*'Prezzi servizi "smart"'!$I$12),0)-IF(PPP!$G$61&gt;0,0.1*(PPP!$D$102+PPP!$G$61*'Prezzi servizi "smart"'!$I$17),0)</f>
        <v>0</v>
      </c>
      <c r="L152" s="152">
        <f>-IF($G$60&gt;0,0.1*($H$60+$G$60*'Prezzi servizi "smart"'!$I$12),0)-IF(PPP!$G$61&gt;0,0.1*(PPP!$D$102+PPP!$G$61*'Prezzi servizi "smart"'!$I$17),0)</f>
        <v>0</v>
      </c>
      <c r="M152" s="152">
        <f>-IF($G$60&gt;0,0.1*($H$60+$G$60*'Prezzi servizi "smart"'!$I$12),0)-IF(PPP!$G$61&gt;0,0.1*(PPP!$D$102+PPP!$G$61*'Prezzi servizi "smart"'!$I$17),0)</f>
        <v>0</v>
      </c>
      <c r="N152" s="152">
        <f>-IF($G$60&gt;0,0.1*($H$60+$G$60*'Prezzi servizi "smart"'!$I$12),0)-IF(PPP!$G$61&gt;0,0.1*(PPP!$D$102+PPP!$G$61*'Prezzi servizi "smart"'!$I$17),0)</f>
        <v>0</v>
      </c>
      <c r="O152" s="152">
        <f>-IF($G$60&gt;0,0.1*($H$60+$G$60*'Prezzi servizi "smart"'!$I$12),0)-IF(PPP!$G$61&gt;0,0.1*(PPP!$D$102+PPP!$G$61*'Prezzi servizi "smart"'!$I$17),0)</f>
        <v>0</v>
      </c>
      <c r="P152" s="152">
        <f>-IF($G$60&gt;0,0.1*($H$60+$G$60*'Prezzi servizi "smart"'!$I$12),0)-IF(PPP!$G$61&gt;0,0.1*(PPP!$D$102+PPP!$G$61*'Prezzi servizi "smart"'!$I$17),0)</f>
        <v>0</v>
      </c>
      <c r="Q152" s="152">
        <f>-IF($G$60&gt;0,0.1*($H$60+$G$60*'Prezzi servizi "smart"'!$I$12),0)-IF(PPP!$G$61&gt;0,0.1*(PPP!$D$102+PPP!$G$61*'Prezzi servizi "smart"'!$I$17),0)</f>
        <v>0</v>
      </c>
      <c r="R152" s="152">
        <f>-IF($G$60&gt;0,0.1*($H$60+$G$60*'Prezzi servizi "smart"'!$I$12),0)-IF(PPP!$G$61&gt;0,0.1*(PPP!$D$102+PPP!$G$61*'Prezzi servizi "smart"'!$I$17),0)</f>
        <v>0</v>
      </c>
      <c r="S152" s="152">
        <f>-IF($G$60&gt;0,0.1*($H$60+$G$60*'Prezzi servizi "smart"'!$I$12),0)-IF(PPP!$G$61&gt;0,0.1*(PPP!$D$102+PPP!$G$61*'Prezzi servizi "smart"'!$I$17),0)</f>
        <v>0</v>
      </c>
      <c r="T152" s="18"/>
      <c r="U152" s="18"/>
      <c r="V152" s="18"/>
      <c r="W152" s="18"/>
      <c r="X152" s="18"/>
      <c r="Y152" s="12"/>
    </row>
    <row r="153" spans="3:25" s="101" customFormat="1" x14ac:dyDescent="0.2">
      <c r="C153" s="107" t="s">
        <v>124</v>
      </c>
      <c r="D153" s="108"/>
      <c r="E153" s="108">
        <f t="shared" ref="E153:S153" si="8">$G$105+$G$106</f>
        <v>0</v>
      </c>
      <c r="F153" s="108">
        <f t="shared" si="8"/>
        <v>0</v>
      </c>
      <c r="G153" s="108">
        <f t="shared" si="8"/>
        <v>0</v>
      </c>
      <c r="H153" s="108">
        <f t="shared" si="8"/>
        <v>0</v>
      </c>
      <c r="I153" s="108">
        <f t="shared" si="8"/>
        <v>0</v>
      </c>
      <c r="J153" s="108">
        <f t="shared" si="8"/>
        <v>0</v>
      </c>
      <c r="K153" s="108">
        <f t="shared" si="8"/>
        <v>0</v>
      </c>
      <c r="L153" s="108">
        <f t="shared" si="8"/>
        <v>0</v>
      </c>
      <c r="M153" s="108">
        <f t="shared" si="8"/>
        <v>0</v>
      </c>
      <c r="N153" s="108">
        <f t="shared" si="8"/>
        <v>0</v>
      </c>
      <c r="O153" s="108">
        <f t="shared" si="8"/>
        <v>0</v>
      </c>
      <c r="P153" s="108">
        <f t="shared" si="8"/>
        <v>0</v>
      </c>
      <c r="Q153" s="108">
        <f t="shared" si="8"/>
        <v>0</v>
      </c>
      <c r="R153" s="108">
        <f t="shared" si="8"/>
        <v>0</v>
      </c>
      <c r="S153" s="108">
        <f t="shared" si="8"/>
        <v>0</v>
      </c>
      <c r="T153" s="140"/>
      <c r="U153" s="140"/>
      <c r="V153" s="140"/>
      <c r="W153" s="140"/>
      <c r="X153" s="140"/>
      <c r="Y153" s="108"/>
    </row>
    <row r="154" spans="3:25" s="101" customFormat="1" x14ac:dyDescent="0.2">
      <c r="C154" s="107" t="s">
        <v>128</v>
      </c>
      <c r="D154" s="108"/>
      <c r="E154" s="139">
        <f t="shared" ref="E154:S154" si="9">$G$109</f>
        <v>0</v>
      </c>
      <c r="F154" s="139">
        <f t="shared" si="9"/>
        <v>0</v>
      </c>
      <c r="G154" s="139">
        <f t="shared" si="9"/>
        <v>0</v>
      </c>
      <c r="H154" s="139">
        <f t="shared" si="9"/>
        <v>0</v>
      </c>
      <c r="I154" s="139">
        <f t="shared" si="9"/>
        <v>0</v>
      </c>
      <c r="J154" s="139">
        <f t="shared" si="9"/>
        <v>0</v>
      </c>
      <c r="K154" s="139">
        <f t="shared" si="9"/>
        <v>0</v>
      </c>
      <c r="L154" s="139">
        <f t="shared" si="9"/>
        <v>0</v>
      </c>
      <c r="M154" s="139">
        <f t="shared" si="9"/>
        <v>0</v>
      </c>
      <c r="N154" s="139">
        <f t="shared" si="9"/>
        <v>0</v>
      </c>
      <c r="O154" s="139">
        <f t="shared" si="9"/>
        <v>0</v>
      </c>
      <c r="P154" s="139">
        <f t="shared" si="9"/>
        <v>0</v>
      </c>
      <c r="Q154" s="139">
        <f t="shared" si="9"/>
        <v>0</v>
      </c>
      <c r="R154" s="139">
        <f t="shared" si="9"/>
        <v>0</v>
      </c>
      <c r="S154" s="139">
        <f t="shared" si="9"/>
        <v>0</v>
      </c>
      <c r="T154" s="140"/>
      <c r="U154" s="140"/>
      <c r="V154" s="140"/>
      <c r="W154" s="140"/>
      <c r="X154" s="140"/>
      <c r="Y154" s="108"/>
    </row>
    <row r="155" spans="3:25" s="101" customFormat="1" x14ac:dyDescent="0.2">
      <c r="C155" s="109" t="s">
        <v>7</v>
      </c>
      <c r="D155" s="110"/>
      <c r="E155" s="111">
        <f t="shared" ref="E155:S155" si="10">SUM(E153:E154)</f>
        <v>0</v>
      </c>
      <c r="F155" s="111">
        <f t="shared" si="10"/>
        <v>0</v>
      </c>
      <c r="G155" s="111">
        <f t="shared" si="10"/>
        <v>0</v>
      </c>
      <c r="H155" s="111">
        <f t="shared" si="10"/>
        <v>0</v>
      </c>
      <c r="I155" s="111">
        <f t="shared" si="10"/>
        <v>0</v>
      </c>
      <c r="J155" s="111">
        <f t="shared" si="10"/>
        <v>0</v>
      </c>
      <c r="K155" s="111">
        <f t="shared" si="10"/>
        <v>0</v>
      </c>
      <c r="L155" s="111">
        <f t="shared" si="10"/>
        <v>0</v>
      </c>
      <c r="M155" s="111">
        <f t="shared" si="10"/>
        <v>0</v>
      </c>
      <c r="N155" s="111">
        <f t="shared" si="10"/>
        <v>0</v>
      </c>
      <c r="O155" s="111">
        <f t="shared" si="10"/>
        <v>0</v>
      </c>
      <c r="P155" s="111">
        <f t="shared" si="10"/>
        <v>0</v>
      </c>
      <c r="Q155" s="111">
        <f t="shared" si="10"/>
        <v>0</v>
      </c>
      <c r="R155" s="111">
        <f t="shared" si="10"/>
        <v>0</v>
      </c>
      <c r="S155" s="111">
        <f t="shared" si="10"/>
        <v>0</v>
      </c>
      <c r="T155" s="140"/>
      <c r="U155" s="140"/>
      <c r="V155" s="140"/>
      <c r="W155" s="140"/>
      <c r="X155" s="140"/>
      <c r="Y155" s="108"/>
    </row>
    <row r="156" spans="3:25" s="101" customFormat="1" x14ac:dyDescent="0.2">
      <c r="C156" s="7" t="s">
        <v>8</v>
      </c>
      <c r="D156" s="8"/>
      <c r="E156" s="8"/>
      <c r="F156" s="8"/>
      <c r="G156" s="8"/>
      <c r="H156" s="8"/>
      <c r="I156" s="8"/>
      <c r="J156" s="8"/>
      <c r="K156" s="8"/>
      <c r="L156" s="8"/>
      <c r="M156" s="8"/>
      <c r="N156" s="8"/>
      <c r="O156" s="8"/>
      <c r="P156" s="8"/>
      <c r="Q156" s="8"/>
      <c r="R156" s="8"/>
      <c r="S156" s="8"/>
      <c r="T156" s="141"/>
      <c r="U156" s="141"/>
      <c r="V156" s="141"/>
      <c r="W156" s="141"/>
      <c r="X156" s="141"/>
      <c r="Y156" s="108"/>
    </row>
    <row r="157" spans="3:25" x14ac:dyDescent="0.2">
      <c r="C157" s="105" t="s">
        <v>9</v>
      </c>
      <c r="D157" s="106"/>
      <c r="E157" s="106">
        <f t="shared" ref="E157:S157" si="11">$D$109/$D$110</f>
        <v>0</v>
      </c>
      <c r="F157" s="106">
        <f t="shared" si="11"/>
        <v>0</v>
      </c>
      <c r="G157" s="106">
        <f t="shared" si="11"/>
        <v>0</v>
      </c>
      <c r="H157" s="106">
        <f t="shared" si="11"/>
        <v>0</v>
      </c>
      <c r="I157" s="106">
        <f t="shared" si="11"/>
        <v>0</v>
      </c>
      <c r="J157" s="106">
        <f t="shared" si="11"/>
        <v>0</v>
      </c>
      <c r="K157" s="106">
        <f t="shared" si="11"/>
        <v>0</v>
      </c>
      <c r="L157" s="106">
        <f t="shared" si="11"/>
        <v>0</v>
      </c>
      <c r="M157" s="106">
        <f t="shared" si="11"/>
        <v>0</v>
      </c>
      <c r="N157" s="106">
        <f t="shared" si="11"/>
        <v>0</v>
      </c>
      <c r="O157" s="106">
        <f t="shared" si="11"/>
        <v>0</v>
      </c>
      <c r="P157" s="106">
        <f t="shared" si="11"/>
        <v>0</v>
      </c>
      <c r="Q157" s="106">
        <f t="shared" si="11"/>
        <v>0</v>
      </c>
      <c r="R157" s="106">
        <f t="shared" si="11"/>
        <v>0</v>
      </c>
      <c r="S157" s="106">
        <f t="shared" si="11"/>
        <v>0</v>
      </c>
      <c r="T157" s="18"/>
      <c r="U157" s="18"/>
      <c r="V157" s="18"/>
      <c r="W157" s="18"/>
      <c r="X157" s="18"/>
      <c r="Y157" s="12"/>
    </row>
    <row r="158" spans="3:25" s="101" customFormat="1" x14ac:dyDescent="0.2">
      <c r="C158" s="107" t="s">
        <v>10</v>
      </c>
      <c r="D158" s="108"/>
      <c r="E158" s="108">
        <f t="shared" ref="E158:S158" si="12">E150-E155-E157</f>
        <v>0</v>
      </c>
      <c r="F158" s="108">
        <f t="shared" si="12"/>
        <v>0</v>
      </c>
      <c r="G158" s="108">
        <f t="shared" si="12"/>
        <v>0</v>
      </c>
      <c r="H158" s="108">
        <f t="shared" si="12"/>
        <v>0</v>
      </c>
      <c r="I158" s="108">
        <f t="shared" si="12"/>
        <v>0</v>
      </c>
      <c r="J158" s="108">
        <f t="shared" si="12"/>
        <v>0</v>
      </c>
      <c r="K158" s="108">
        <f t="shared" si="12"/>
        <v>0</v>
      </c>
      <c r="L158" s="108">
        <f t="shared" si="12"/>
        <v>0</v>
      </c>
      <c r="M158" s="108">
        <f t="shared" si="12"/>
        <v>0</v>
      </c>
      <c r="N158" s="108">
        <f t="shared" si="12"/>
        <v>0</v>
      </c>
      <c r="O158" s="108">
        <f t="shared" si="12"/>
        <v>0</v>
      </c>
      <c r="P158" s="108">
        <f t="shared" si="12"/>
        <v>0</v>
      </c>
      <c r="Q158" s="108">
        <f t="shared" si="12"/>
        <v>0</v>
      </c>
      <c r="R158" s="108">
        <f t="shared" si="12"/>
        <v>0</v>
      </c>
      <c r="S158" s="108">
        <f t="shared" si="12"/>
        <v>0</v>
      </c>
      <c r="T158" s="140"/>
      <c r="U158" s="140"/>
      <c r="V158" s="140"/>
      <c r="W158" s="140"/>
      <c r="X158" s="140"/>
      <c r="Y158" s="108"/>
    </row>
    <row r="159" spans="3:25" s="101" customFormat="1" x14ac:dyDescent="0.2">
      <c r="C159" s="109" t="s">
        <v>11</v>
      </c>
      <c r="D159" s="110"/>
      <c r="E159" s="111">
        <f t="shared" ref="E159:S159" si="13">E158*$D$114</f>
        <v>0</v>
      </c>
      <c r="F159" s="111">
        <f t="shared" si="13"/>
        <v>0</v>
      </c>
      <c r="G159" s="111">
        <f t="shared" si="13"/>
        <v>0</v>
      </c>
      <c r="H159" s="111">
        <f t="shared" si="13"/>
        <v>0</v>
      </c>
      <c r="I159" s="111">
        <f t="shared" si="13"/>
        <v>0</v>
      </c>
      <c r="J159" s="111">
        <f t="shared" si="13"/>
        <v>0</v>
      </c>
      <c r="K159" s="111">
        <f t="shared" si="13"/>
        <v>0</v>
      </c>
      <c r="L159" s="111">
        <f t="shared" si="13"/>
        <v>0</v>
      </c>
      <c r="M159" s="111">
        <f t="shared" si="13"/>
        <v>0</v>
      </c>
      <c r="N159" s="111">
        <f t="shared" si="13"/>
        <v>0</v>
      </c>
      <c r="O159" s="111">
        <f t="shared" si="13"/>
        <v>0</v>
      </c>
      <c r="P159" s="111">
        <f t="shared" si="13"/>
        <v>0</v>
      </c>
      <c r="Q159" s="111">
        <f t="shared" si="13"/>
        <v>0</v>
      </c>
      <c r="R159" s="111">
        <f t="shared" si="13"/>
        <v>0</v>
      </c>
      <c r="S159" s="111">
        <f t="shared" si="13"/>
        <v>0</v>
      </c>
      <c r="T159" s="140"/>
      <c r="U159" s="140"/>
      <c r="V159" s="140"/>
      <c r="W159" s="140"/>
      <c r="X159" s="140"/>
      <c r="Y159" s="108"/>
    </row>
    <row r="160" spans="3:25" s="101" customFormat="1" x14ac:dyDescent="0.2">
      <c r="C160" s="7" t="s">
        <v>12</v>
      </c>
      <c r="D160" s="8"/>
      <c r="E160" s="8"/>
      <c r="F160" s="8"/>
      <c r="G160" s="8"/>
      <c r="H160" s="8"/>
      <c r="I160" s="8"/>
      <c r="J160" s="8"/>
      <c r="K160" s="8"/>
      <c r="L160" s="8"/>
      <c r="M160" s="8"/>
      <c r="N160" s="8"/>
      <c r="O160" s="8"/>
      <c r="P160" s="8"/>
      <c r="Q160" s="8"/>
      <c r="R160" s="8"/>
      <c r="S160" s="8"/>
      <c r="T160" s="141"/>
      <c r="U160" s="141"/>
      <c r="V160" s="141"/>
      <c r="W160" s="141"/>
      <c r="X160" s="141"/>
      <c r="Y160" s="108"/>
    </row>
    <row r="161" spans="3:24" x14ac:dyDescent="0.2">
      <c r="C161" s="105" t="s">
        <v>12</v>
      </c>
      <c r="D161" s="106">
        <f>D147</f>
        <v>0</v>
      </c>
      <c r="E161" s="106">
        <f t="shared" ref="E161:S161" si="14">E150-E155-E159</f>
        <v>0</v>
      </c>
      <c r="F161" s="106">
        <f t="shared" si="14"/>
        <v>0</v>
      </c>
      <c r="G161" s="106">
        <f t="shared" si="14"/>
        <v>0</v>
      </c>
      <c r="H161" s="106">
        <f t="shared" si="14"/>
        <v>0</v>
      </c>
      <c r="I161" s="106">
        <f t="shared" si="14"/>
        <v>0</v>
      </c>
      <c r="J161" s="106">
        <f t="shared" si="14"/>
        <v>0</v>
      </c>
      <c r="K161" s="106">
        <f t="shared" si="14"/>
        <v>0</v>
      </c>
      <c r="L161" s="106">
        <f t="shared" si="14"/>
        <v>0</v>
      </c>
      <c r="M161" s="106">
        <f t="shared" si="14"/>
        <v>0</v>
      </c>
      <c r="N161" s="106">
        <f t="shared" si="14"/>
        <v>0</v>
      </c>
      <c r="O161" s="106">
        <f t="shared" si="14"/>
        <v>0</v>
      </c>
      <c r="P161" s="106">
        <f t="shared" si="14"/>
        <v>0</v>
      </c>
      <c r="Q161" s="106">
        <f t="shared" si="14"/>
        <v>0</v>
      </c>
      <c r="R161" s="106">
        <f t="shared" si="14"/>
        <v>0</v>
      </c>
      <c r="S161" s="106">
        <f t="shared" si="14"/>
        <v>0</v>
      </c>
      <c r="T161" s="18"/>
      <c r="U161" s="18"/>
      <c r="V161" s="18"/>
      <c r="W161" s="18"/>
      <c r="X161" s="18"/>
    </row>
    <row r="162" spans="3:24" s="101" customFormat="1" x14ac:dyDescent="0.2">
      <c r="C162" s="107" t="s">
        <v>13</v>
      </c>
      <c r="D162" s="108">
        <f t="shared" ref="D162:S162" si="15">D161/(1+$D$122)^D145</f>
        <v>0</v>
      </c>
      <c r="E162" s="108">
        <f t="shared" si="15"/>
        <v>0</v>
      </c>
      <c r="F162" s="108">
        <f t="shared" si="15"/>
        <v>0</v>
      </c>
      <c r="G162" s="108">
        <f t="shared" si="15"/>
        <v>0</v>
      </c>
      <c r="H162" s="108">
        <f t="shared" si="15"/>
        <v>0</v>
      </c>
      <c r="I162" s="108">
        <f t="shared" si="15"/>
        <v>0</v>
      </c>
      <c r="J162" s="108">
        <f t="shared" si="15"/>
        <v>0</v>
      </c>
      <c r="K162" s="108">
        <f t="shared" si="15"/>
        <v>0</v>
      </c>
      <c r="L162" s="108">
        <f t="shared" si="15"/>
        <v>0</v>
      </c>
      <c r="M162" s="108">
        <f t="shared" si="15"/>
        <v>0</v>
      </c>
      <c r="N162" s="108">
        <f t="shared" si="15"/>
        <v>0</v>
      </c>
      <c r="O162" s="108">
        <f t="shared" si="15"/>
        <v>0</v>
      </c>
      <c r="P162" s="108">
        <f t="shared" si="15"/>
        <v>0</v>
      </c>
      <c r="Q162" s="108">
        <f t="shared" si="15"/>
        <v>0</v>
      </c>
      <c r="R162" s="108">
        <f t="shared" si="15"/>
        <v>0</v>
      </c>
      <c r="S162" s="108">
        <f t="shared" si="15"/>
        <v>0</v>
      </c>
      <c r="T162" s="140"/>
      <c r="U162" s="140"/>
      <c r="V162" s="140"/>
      <c r="W162" s="140"/>
      <c r="X162" s="140"/>
    </row>
    <row r="163" spans="3:24" s="101" customFormat="1" x14ac:dyDescent="0.2">
      <c r="C163" s="115" t="s">
        <v>181</v>
      </c>
      <c r="D163" s="112">
        <f>D162</f>
        <v>0</v>
      </c>
      <c r="E163" s="112">
        <f>D163+E162</f>
        <v>0</v>
      </c>
      <c r="F163" s="112">
        <f>E163+F162</f>
        <v>0</v>
      </c>
      <c r="G163" s="112">
        <f t="shared" ref="G163:S163" si="16">F163+G162</f>
        <v>0</v>
      </c>
      <c r="H163" s="112">
        <f t="shared" si="16"/>
        <v>0</v>
      </c>
      <c r="I163" s="112">
        <f t="shared" si="16"/>
        <v>0</v>
      </c>
      <c r="J163" s="112">
        <f t="shared" si="16"/>
        <v>0</v>
      </c>
      <c r="K163" s="112">
        <f t="shared" si="16"/>
        <v>0</v>
      </c>
      <c r="L163" s="112">
        <f t="shared" si="16"/>
        <v>0</v>
      </c>
      <c r="M163" s="112">
        <f t="shared" si="16"/>
        <v>0</v>
      </c>
      <c r="N163" s="112">
        <f t="shared" si="16"/>
        <v>0</v>
      </c>
      <c r="O163" s="112">
        <f t="shared" si="16"/>
        <v>0</v>
      </c>
      <c r="P163" s="112">
        <f t="shared" si="16"/>
        <v>0</v>
      </c>
      <c r="Q163" s="112">
        <f t="shared" si="16"/>
        <v>0</v>
      </c>
      <c r="R163" s="112">
        <f t="shared" si="16"/>
        <v>0</v>
      </c>
      <c r="S163" s="112">
        <f t="shared" si="16"/>
        <v>0</v>
      </c>
      <c r="T163" s="140"/>
      <c r="U163" s="140"/>
      <c r="V163" s="140"/>
      <c r="W163" s="140"/>
      <c r="X163" s="140"/>
    </row>
    <row r="164" spans="3:24" s="101" customFormat="1" x14ac:dyDescent="0.2">
      <c r="C164" s="14"/>
      <c r="D164" s="13"/>
      <c r="E164"/>
      <c r="F164"/>
      <c r="G164"/>
      <c r="H164"/>
      <c r="I164"/>
      <c r="J164"/>
      <c r="K164"/>
      <c r="L164"/>
      <c r="M164"/>
      <c r="N164"/>
      <c r="O164"/>
      <c r="P164"/>
      <c r="Q164"/>
      <c r="R164"/>
      <c r="S164"/>
      <c r="T164" s="141"/>
      <c r="U164" s="141"/>
      <c r="V164" s="141"/>
      <c r="W164" s="141"/>
      <c r="X164" s="141"/>
    </row>
    <row r="165" spans="3:24" x14ac:dyDescent="0.2">
      <c r="C165" s="164" t="s">
        <v>14</v>
      </c>
      <c r="D165" s="165"/>
      <c r="T165" s="18"/>
      <c r="U165" s="18"/>
      <c r="V165" s="18"/>
      <c r="W165" s="18"/>
      <c r="X165" s="18"/>
    </row>
    <row r="166" spans="3:24" x14ac:dyDescent="0.2">
      <c r="C166" s="15" t="s">
        <v>15</v>
      </c>
      <c r="D166" s="78">
        <f>SUM(D161:Z161)</f>
        <v>0</v>
      </c>
    </row>
    <row r="167" spans="3:24" x14ac:dyDescent="0.2">
      <c r="C167" s="16" t="s">
        <v>16</v>
      </c>
      <c r="D167" s="2" t="e">
        <f>IRR(D161:S161)</f>
        <v>#NUM!</v>
      </c>
    </row>
    <row r="168" spans="3:24" x14ac:dyDescent="0.2">
      <c r="C168" s="11" t="s">
        <v>17</v>
      </c>
      <c r="D168" s="4">
        <f>IF(COUNTIF(D162:X162,"&lt;0")&lt;16,COUNTIF(D162:X162,"&lt;0"),"&gt;vu")</f>
        <v>0</v>
      </c>
    </row>
    <row r="179" spans="3:20" ht="16" thickBot="1" x14ac:dyDescent="0.25"/>
    <row r="180" spans="3:20" ht="16" thickBot="1" x14ac:dyDescent="0.25">
      <c r="C180" s="431" t="s">
        <v>279</v>
      </c>
      <c r="D180" s="432"/>
      <c r="E180" s="262" t="s">
        <v>119</v>
      </c>
    </row>
    <row r="182" spans="3:20" x14ac:dyDescent="0.2">
      <c r="C182" s="5" t="s">
        <v>2</v>
      </c>
      <c r="D182" s="6">
        <v>0</v>
      </c>
      <c r="E182" s="6">
        <v>1</v>
      </c>
      <c r="F182" s="6">
        <v>2</v>
      </c>
      <c r="G182" s="6">
        <v>3</v>
      </c>
      <c r="H182" s="6">
        <v>4</v>
      </c>
      <c r="I182" s="6">
        <v>5</v>
      </c>
      <c r="J182" s="6">
        <v>6</v>
      </c>
      <c r="K182" s="6">
        <v>7</v>
      </c>
      <c r="L182" s="6">
        <v>8</v>
      </c>
      <c r="M182" s="6">
        <v>9</v>
      </c>
      <c r="N182" s="6">
        <v>10</v>
      </c>
      <c r="O182" s="6">
        <v>11</v>
      </c>
      <c r="P182" s="6">
        <v>12</v>
      </c>
      <c r="Q182" s="6">
        <v>13</v>
      </c>
      <c r="R182" s="6">
        <v>14</v>
      </c>
      <c r="S182" s="6">
        <v>15</v>
      </c>
    </row>
    <row r="183" spans="3:20" x14ac:dyDescent="0.2">
      <c r="C183" t="s">
        <v>171</v>
      </c>
      <c r="E183" s="152">
        <f t="shared" ref="E183:S183" si="17">+($G$95-$G$94)*$G$93</f>
        <v>0</v>
      </c>
      <c r="F183" s="152">
        <f t="shared" si="17"/>
        <v>0</v>
      </c>
      <c r="G183" s="152">
        <f t="shared" si="17"/>
        <v>0</v>
      </c>
      <c r="H183" s="152">
        <f t="shared" si="17"/>
        <v>0</v>
      </c>
      <c r="I183" s="152">
        <f t="shared" si="17"/>
        <v>0</v>
      </c>
      <c r="J183" s="152">
        <f t="shared" si="17"/>
        <v>0</v>
      </c>
      <c r="K183" s="152">
        <f t="shared" si="17"/>
        <v>0</v>
      </c>
      <c r="L183" s="152">
        <f t="shared" si="17"/>
        <v>0</v>
      </c>
      <c r="M183" s="152">
        <f t="shared" si="17"/>
        <v>0</v>
      </c>
      <c r="N183" s="152">
        <f t="shared" si="17"/>
        <v>0</v>
      </c>
      <c r="O183" s="152">
        <f t="shared" si="17"/>
        <v>0</v>
      </c>
      <c r="P183" s="152">
        <f t="shared" si="17"/>
        <v>0</v>
      </c>
      <c r="Q183" s="152">
        <f t="shared" si="17"/>
        <v>0</v>
      </c>
      <c r="R183" s="152">
        <f t="shared" si="17"/>
        <v>0</v>
      </c>
      <c r="S183" s="152">
        <f t="shared" si="17"/>
        <v>0</v>
      </c>
    </row>
    <row r="184" spans="3:20" x14ac:dyDescent="0.2">
      <c r="C184" t="s">
        <v>172</v>
      </c>
      <c r="E184" s="142">
        <f t="shared" ref="E184:S184" si="18">+($G$89-$G$88)</f>
        <v>0</v>
      </c>
      <c r="F184" s="142">
        <f t="shared" si="18"/>
        <v>0</v>
      </c>
      <c r="G184" s="142">
        <f t="shared" si="18"/>
        <v>0</v>
      </c>
      <c r="H184" s="142">
        <f t="shared" si="18"/>
        <v>0</v>
      </c>
      <c r="I184" s="142">
        <f t="shared" si="18"/>
        <v>0</v>
      </c>
      <c r="J184" s="142">
        <f t="shared" si="18"/>
        <v>0</v>
      </c>
      <c r="K184" s="142">
        <f t="shared" si="18"/>
        <v>0</v>
      </c>
      <c r="L184" s="142">
        <f t="shared" si="18"/>
        <v>0</v>
      </c>
      <c r="M184" s="142">
        <f t="shared" si="18"/>
        <v>0</v>
      </c>
      <c r="N184" s="142">
        <f t="shared" si="18"/>
        <v>0</v>
      </c>
      <c r="O184" s="142">
        <f t="shared" si="18"/>
        <v>0</v>
      </c>
      <c r="P184" s="142">
        <f t="shared" si="18"/>
        <v>0</v>
      </c>
      <c r="Q184" s="142">
        <f t="shared" si="18"/>
        <v>0</v>
      </c>
      <c r="R184" s="142">
        <f t="shared" si="18"/>
        <v>0</v>
      </c>
      <c r="S184" s="142">
        <f t="shared" si="18"/>
        <v>0</v>
      </c>
    </row>
    <row r="185" spans="3:20" x14ac:dyDescent="0.2">
      <c r="C185" t="s">
        <v>278</v>
      </c>
      <c r="E185" s="142">
        <f>IF($E$180="si",$G$102,0)</f>
        <v>0</v>
      </c>
      <c r="F185" s="142">
        <f t="shared" ref="F185:S185" si="19">IF($E$180="si",$G$102,0)</f>
        <v>0</v>
      </c>
      <c r="G185" s="142">
        <f t="shared" si="19"/>
        <v>0</v>
      </c>
      <c r="H185" s="142">
        <f t="shared" si="19"/>
        <v>0</v>
      </c>
      <c r="I185" s="142">
        <f t="shared" si="19"/>
        <v>0</v>
      </c>
      <c r="J185" s="142">
        <f t="shared" si="19"/>
        <v>0</v>
      </c>
      <c r="K185" s="142">
        <f t="shared" si="19"/>
        <v>0</v>
      </c>
      <c r="L185" s="142">
        <f t="shared" si="19"/>
        <v>0</v>
      </c>
      <c r="M185" s="142">
        <f t="shared" si="19"/>
        <v>0</v>
      </c>
      <c r="N185" s="142">
        <f t="shared" si="19"/>
        <v>0</v>
      </c>
      <c r="O185" s="142">
        <f t="shared" si="19"/>
        <v>0</v>
      </c>
      <c r="P185" s="142">
        <f t="shared" si="19"/>
        <v>0</v>
      </c>
      <c r="Q185" s="142">
        <f t="shared" si="19"/>
        <v>0</v>
      </c>
      <c r="R185" s="142">
        <f t="shared" si="19"/>
        <v>0</v>
      </c>
      <c r="S185" s="142">
        <f t="shared" si="19"/>
        <v>0</v>
      </c>
    </row>
    <row r="186" spans="3:20" x14ac:dyDescent="0.2">
      <c r="C186" s="320" t="s">
        <v>173</v>
      </c>
      <c r="D186" s="318"/>
      <c r="E186" s="319">
        <f>(E183+E184+E185)/(1+$D$122)^E182</f>
        <v>0</v>
      </c>
      <c r="F186" s="319">
        <f t="shared" ref="F186:S186" si="20">(F183+F184+F185)/(1+$D$122)^F182</f>
        <v>0</v>
      </c>
      <c r="G186" s="319">
        <f t="shared" si="20"/>
        <v>0</v>
      </c>
      <c r="H186" s="319">
        <f t="shared" si="20"/>
        <v>0</v>
      </c>
      <c r="I186" s="319">
        <f t="shared" si="20"/>
        <v>0</v>
      </c>
      <c r="J186" s="319">
        <f t="shared" si="20"/>
        <v>0</v>
      </c>
      <c r="K186" s="319">
        <f t="shared" si="20"/>
        <v>0</v>
      </c>
      <c r="L186" s="319">
        <f t="shared" si="20"/>
        <v>0</v>
      </c>
      <c r="M186" s="319">
        <f t="shared" si="20"/>
        <v>0</v>
      </c>
      <c r="N186" s="319">
        <f t="shared" si="20"/>
        <v>0</v>
      </c>
      <c r="O186" s="319">
        <f t="shared" si="20"/>
        <v>0</v>
      </c>
      <c r="P186" s="319">
        <f t="shared" si="20"/>
        <v>0</v>
      </c>
      <c r="Q186" s="319">
        <f t="shared" si="20"/>
        <v>0</v>
      </c>
      <c r="R186" s="319">
        <f t="shared" si="20"/>
        <v>0</v>
      </c>
      <c r="S186" s="319">
        <f t="shared" si="20"/>
        <v>0</v>
      </c>
    </row>
    <row r="187" spans="3:20" x14ac:dyDescent="0.2">
      <c r="C187" s="131"/>
      <c r="D187" s="75"/>
      <c r="E187" s="426"/>
      <c r="F187" s="426"/>
      <c r="G187" s="426"/>
      <c r="H187" s="426"/>
      <c r="I187" s="426"/>
      <c r="J187" s="426"/>
      <c r="K187" s="426"/>
      <c r="L187" s="426"/>
      <c r="M187" s="426"/>
      <c r="N187" s="426"/>
      <c r="O187" s="426"/>
      <c r="P187" s="426"/>
      <c r="Q187" s="426"/>
      <c r="R187" s="426"/>
      <c r="S187" s="426"/>
      <c r="T187" s="75"/>
    </row>
    <row r="188" spans="3:20" x14ac:dyDescent="0.2">
      <c r="C188" s="5" t="s">
        <v>2</v>
      </c>
      <c r="D188" s="6">
        <v>0</v>
      </c>
      <c r="E188" s="6">
        <v>1</v>
      </c>
      <c r="F188" s="6">
        <v>2</v>
      </c>
      <c r="G188" s="6">
        <v>3</v>
      </c>
      <c r="H188" s="6">
        <v>4</v>
      </c>
      <c r="I188" s="6">
        <v>5</v>
      </c>
      <c r="J188" s="6">
        <v>6</v>
      </c>
      <c r="K188" s="6">
        <v>7</v>
      </c>
      <c r="L188" s="6">
        <v>8</v>
      </c>
      <c r="M188" s="6">
        <v>9</v>
      </c>
      <c r="N188" s="6">
        <v>10</v>
      </c>
      <c r="O188" s="6">
        <v>11</v>
      </c>
      <c r="P188" s="6">
        <v>12</v>
      </c>
      <c r="Q188" s="6">
        <v>13</v>
      </c>
      <c r="R188" s="6">
        <v>14</v>
      </c>
      <c r="S188" s="6">
        <v>15</v>
      </c>
    </row>
    <row r="189" spans="3:20" x14ac:dyDescent="0.2">
      <c r="C189" t="s">
        <v>289</v>
      </c>
      <c r="E189" s="142">
        <f>(E183)/(1+$D$122)^E182</f>
        <v>0</v>
      </c>
      <c r="F189" s="142">
        <f t="shared" ref="F189:S189" si="21">(F183)/(1+$D$122)^F182</f>
        <v>0</v>
      </c>
      <c r="G189" s="142">
        <f t="shared" si="21"/>
        <v>0</v>
      </c>
      <c r="H189" s="142">
        <f t="shared" si="21"/>
        <v>0</v>
      </c>
      <c r="I189" s="142">
        <f t="shared" si="21"/>
        <v>0</v>
      </c>
      <c r="J189" s="142">
        <f t="shared" si="21"/>
        <v>0</v>
      </c>
      <c r="K189" s="142">
        <f t="shared" si="21"/>
        <v>0</v>
      </c>
      <c r="L189" s="142">
        <f t="shared" si="21"/>
        <v>0</v>
      </c>
      <c r="M189" s="142">
        <f t="shared" si="21"/>
        <v>0</v>
      </c>
      <c r="N189" s="142">
        <f t="shared" si="21"/>
        <v>0</v>
      </c>
      <c r="O189" s="142">
        <f t="shared" si="21"/>
        <v>0</v>
      </c>
      <c r="P189" s="142">
        <f t="shared" si="21"/>
        <v>0</v>
      </c>
      <c r="Q189" s="142">
        <f t="shared" si="21"/>
        <v>0</v>
      </c>
      <c r="R189" s="142">
        <f t="shared" si="21"/>
        <v>0</v>
      </c>
      <c r="S189" s="142">
        <f t="shared" si="21"/>
        <v>0</v>
      </c>
    </row>
    <row r="190" spans="3:20" x14ac:dyDescent="0.2">
      <c r="C190" t="s">
        <v>290</v>
      </c>
      <c r="E190" s="142">
        <f>(E184)/(1+$D$122)^E182</f>
        <v>0</v>
      </c>
      <c r="F190" s="142">
        <f t="shared" ref="F190:S190" si="22">(F184)/(1+$D$122)^F182</f>
        <v>0</v>
      </c>
      <c r="G190" s="142">
        <f t="shared" si="22"/>
        <v>0</v>
      </c>
      <c r="H190" s="142">
        <f t="shared" si="22"/>
        <v>0</v>
      </c>
      <c r="I190" s="142">
        <f t="shared" si="22"/>
        <v>0</v>
      </c>
      <c r="J190" s="142">
        <f t="shared" si="22"/>
        <v>0</v>
      </c>
      <c r="K190" s="142">
        <f t="shared" si="22"/>
        <v>0</v>
      </c>
      <c r="L190" s="142">
        <f t="shared" si="22"/>
        <v>0</v>
      </c>
      <c r="M190" s="142">
        <f t="shared" si="22"/>
        <v>0</v>
      </c>
      <c r="N190" s="142">
        <f t="shared" si="22"/>
        <v>0</v>
      </c>
      <c r="O190" s="142">
        <f t="shared" si="22"/>
        <v>0</v>
      </c>
      <c r="P190" s="142">
        <f t="shared" si="22"/>
        <v>0</v>
      </c>
      <c r="Q190" s="142">
        <f t="shared" si="22"/>
        <v>0</v>
      </c>
      <c r="R190" s="142">
        <f t="shared" si="22"/>
        <v>0</v>
      </c>
      <c r="S190" s="142">
        <f t="shared" si="22"/>
        <v>0</v>
      </c>
    </row>
    <row r="191" spans="3:20" x14ac:dyDescent="0.2">
      <c r="C191" t="s">
        <v>291</v>
      </c>
      <c r="E191" s="142">
        <f>(E185)/(1+$D$122)^E182</f>
        <v>0</v>
      </c>
      <c r="F191" s="142">
        <f t="shared" ref="F191:S191" si="23">(F185)/(1+$D$122)^F182</f>
        <v>0</v>
      </c>
      <c r="G191" s="142">
        <f t="shared" si="23"/>
        <v>0</v>
      </c>
      <c r="H191" s="142">
        <f t="shared" si="23"/>
        <v>0</v>
      </c>
      <c r="I191" s="142">
        <f t="shared" si="23"/>
        <v>0</v>
      </c>
      <c r="J191" s="142">
        <f t="shared" si="23"/>
        <v>0</v>
      </c>
      <c r="K191" s="142">
        <f t="shared" si="23"/>
        <v>0</v>
      </c>
      <c r="L191" s="142">
        <f t="shared" si="23"/>
        <v>0</v>
      </c>
      <c r="M191" s="142">
        <f t="shared" si="23"/>
        <v>0</v>
      </c>
      <c r="N191" s="142">
        <f t="shared" si="23"/>
        <v>0</v>
      </c>
      <c r="O191" s="142">
        <f t="shared" si="23"/>
        <v>0</v>
      </c>
      <c r="P191" s="142">
        <f t="shared" si="23"/>
        <v>0</v>
      </c>
      <c r="Q191" s="142">
        <f t="shared" si="23"/>
        <v>0</v>
      </c>
      <c r="R191" s="142">
        <f t="shared" si="23"/>
        <v>0</v>
      </c>
      <c r="S191" s="142">
        <f t="shared" si="23"/>
        <v>0</v>
      </c>
    </row>
    <row r="192" spans="3:20" ht="16" thickBot="1" x14ac:dyDescent="0.25"/>
    <row r="193" spans="3:4" ht="16" thickBot="1" x14ac:dyDescent="0.25">
      <c r="C193" s="25" t="s">
        <v>175</v>
      </c>
      <c r="D193" s="153">
        <f>SUM(E186:S186)</f>
        <v>0</v>
      </c>
    </row>
    <row r="194" spans="3:4" x14ac:dyDescent="0.2">
      <c r="C194" s="314" t="s">
        <v>287</v>
      </c>
      <c r="D194" s="316">
        <f>SUM(E189:S189)</f>
        <v>0</v>
      </c>
    </row>
    <row r="195" spans="3:4" x14ac:dyDescent="0.2">
      <c r="C195" s="315" t="s">
        <v>310</v>
      </c>
      <c r="D195" s="317">
        <f>SUM(E190:S190)</f>
        <v>0</v>
      </c>
    </row>
    <row r="196" spans="3:4" ht="16" thickBot="1" x14ac:dyDescent="0.25">
      <c r="C196" s="313" t="s">
        <v>288</v>
      </c>
      <c r="D196" s="233">
        <f>SUM(E191:S191)</f>
        <v>0</v>
      </c>
    </row>
    <row r="198" spans="3:4" ht="16" thickBot="1" x14ac:dyDescent="0.25"/>
    <row r="199" spans="3:4" ht="17" thickBot="1" x14ac:dyDescent="0.25">
      <c r="C199" s="428" t="s">
        <v>395</v>
      </c>
      <c r="D199" s="153">
        <f>D109-D108-D88-D104</f>
        <v>0</v>
      </c>
    </row>
    <row r="200" spans="3:4" ht="16" thickBot="1" x14ac:dyDescent="0.25"/>
    <row r="201" spans="3:4" ht="17" thickBot="1" x14ac:dyDescent="0.25">
      <c r="C201" s="429" t="s">
        <v>397</v>
      </c>
      <c r="D201" s="153">
        <f>(D109-D108-D88-D104+G109)*3.5/(10^6)*25000</f>
        <v>0</v>
      </c>
    </row>
    <row r="202" spans="3:4" ht="16" thickBot="1" x14ac:dyDescent="0.25"/>
    <row r="203" spans="3:4" ht="17" thickBot="1" x14ac:dyDescent="0.25">
      <c r="C203" s="429" t="s">
        <v>396</v>
      </c>
      <c r="D203" s="153">
        <f>(D88+IF($G$60&gt;0,0.1*($H$60+$G$60*'Prezzi servizi "smart"'!$I$12),0)+IF($G$61&gt;0,0.1*($D$102+$G$61*'Prezzi servizi "smart"'!$I$17),0)-(G89-G88)+D104)*5.7/(10^6)*25000</f>
        <v>0</v>
      </c>
    </row>
  </sheetData>
  <dataConsolidate/>
  <mergeCells count="32">
    <mergeCell ref="K27:K29"/>
    <mergeCell ref="I31:K33"/>
    <mergeCell ref="C43:C56"/>
    <mergeCell ref="A43:B66"/>
    <mergeCell ref="F51:F53"/>
    <mergeCell ref="C60:C61"/>
    <mergeCell ref="C65:C66"/>
    <mergeCell ref="J27:J28"/>
    <mergeCell ref="H27:H30"/>
    <mergeCell ref="D44:D47"/>
    <mergeCell ref="D48:D50"/>
    <mergeCell ref="D51:D53"/>
    <mergeCell ref="D55:D56"/>
    <mergeCell ref="C27:C31"/>
    <mergeCell ref="E27:E30"/>
    <mergeCell ref="C32:C33"/>
    <mergeCell ref="A5:A21"/>
    <mergeCell ref="C7:C8"/>
    <mergeCell ref="C9:C12"/>
    <mergeCell ref="A25:B33"/>
    <mergeCell ref="C113:D113"/>
    <mergeCell ref="C180:D180"/>
    <mergeCell ref="I43:I44"/>
    <mergeCell ref="J43:J45"/>
    <mergeCell ref="K43:K46"/>
    <mergeCell ref="D65:D66"/>
    <mergeCell ref="F44:F47"/>
    <mergeCell ref="F85:G85"/>
    <mergeCell ref="F87:G87"/>
    <mergeCell ref="F92:G92"/>
    <mergeCell ref="F98:G98"/>
    <mergeCell ref="F104:G104"/>
  </mergeCells>
  <dataValidations count="3">
    <dataValidation type="list" allowBlank="1" showInputMessage="1" showErrorMessage="1" sqref="E37 E25 G107 E180 G43">
      <formula1>manut</formula1>
    </dataValidation>
    <dataValidation type="list" allowBlank="1" showInputMessage="1" showErrorMessage="1" sqref="R75">
      <formula1>Nome</formula1>
    </dataValidation>
    <dataValidation type="list" allowBlank="1" showInputMessage="1" showErrorMessage="1" sqref="I28:I30 J29:J30 K30 I45:I47 J46:J47 K47">
      <formula1>pacchetti</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enableFormatConditionsCalculation="0"/>
  <dimension ref="B2:G22"/>
  <sheetViews>
    <sheetView workbookViewId="0">
      <selection activeCell="F22" sqref="F22"/>
    </sheetView>
  </sheetViews>
  <sheetFormatPr baseColWidth="10" defaultColWidth="8.83203125" defaultRowHeight="15" x14ac:dyDescent="0.2"/>
  <cols>
    <col min="2" max="2" width="41.1640625" bestFit="1" customWidth="1"/>
    <col min="3" max="3" width="19.1640625" bestFit="1" customWidth="1"/>
    <col min="4" max="4" width="48.83203125" bestFit="1" customWidth="1"/>
    <col min="5" max="6" width="21.6640625" bestFit="1" customWidth="1"/>
    <col min="7" max="7" width="15.5" customWidth="1"/>
    <col min="8" max="8" width="17.5" customWidth="1"/>
    <col min="9" max="9" width="13.5" bestFit="1" customWidth="1"/>
    <col min="10" max="10" width="11.6640625" bestFit="1" customWidth="1"/>
  </cols>
  <sheetData>
    <row r="2" spans="2:7" x14ac:dyDescent="0.2">
      <c r="B2" s="446" t="s">
        <v>150</v>
      </c>
      <c r="C2" s="447"/>
      <c r="E2" s="446" t="s">
        <v>153</v>
      </c>
      <c r="F2" s="447"/>
    </row>
    <row r="3" spans="2:7" x14ac:dyDescent="0.2">
      <c r="B3" s="98" t="s">
        <v>151</v>
      </c>
      <c r="C3" s="99" t="s">
        <v>120</v>
      </c>
      <c r="E3" s="98" t="s">
        <v>151</v>
      </c>
      <c r="F3" s="99" t="s">
        <v>120</v>
      </c>
    </row>
    <row r="4" spans="2:7" x14ac:dyDescent="0.2">
      <c r="B4" s="20" t="s">
        <v>315</v>
      </c>
      <c r="C4" s="234">
        <v>350</v>
      </c>
      <c r="E4" s="20" t="s">
        <v>152</v>
      </c>
      <c r="F4" s="239">
        <v>55</v>
      </c>
    </row>
    <row r="5" spans="2:7" x14ac:dyDescent="0.2">
      <c r="B5" s="1" t="s">
        <v>312</v>
      </c>
      <c r="C5" s="235">
        <v>1000</v>
      </c>
      <c r="D5" t="s">
        <v>133</v>
      </c>
      <c r="E5" s="3" t="s">
        <v>99</v>
      </c>
      <c r="F5" s="240">
        <v>250</v>
      </c>
      <c r="G5" s="113"/>
    </row>
    <row r="6" spans="2:7" x14ac:dyDescent="0.2">
      <c r="B6" s="73" t="s">
        <v>316</v>
      </c>
      <c r="C6" s="236">
        <v>5000</v>
      </c>
    </row>
    <row r="8" spans="2:7" x14ac:dyDescent="0.2">
      <c r="B8" s="72"/>
    </row>
    <row r="9" spans="2:7" s="75" customFormat="1" x14ac:dyDescent="0.2">
      <c r="D9"/>
      <c r="E9" s="446" t="s">
        <v>100</v>
      </c>
      <c r="F9" s="447"/>
    </row>
    <row r="10" spans="2:7" x14ac:dyDescent="0.2">
      <c r="D10" s="75"/>
      <c r="E10" s="22" t="s">
        <v>101</v>
      </c>
      <c r="F10" s="23" t="s">
        <v>177</v>
      </c>
    </row>
    <row r="11" spans="2:7" x14ac:dyDescent="0.2">
      <c r="E11" s="82" t="s">
        <v>131</v>
      </c>
      <c r="F11" s="241">
        <v>100</v>
      </c>
    </row>
    <row r="13" spans="2:7" x14ac:dyDescent="0.2">
      <c r="B13" s="446" t="s">
        <v>113</v>
      </c>
      <c r="C13" s="447"/>
      <c r="E13" s="446" t="s">
        <v>122</v>
      </c>
      <c r="F13" s="447"/>
    </row>
    <row r="14" spans="2:7" x14ac:dyDescent="0.2">
      <c r="B14" s="124" t="s">
        <v>114</v>
      </c>
      <c r="C14" s="99" t="s">
        <v>121</v>
      </c>
      <c r="E14" s="22" t="s">
        <v>136</v>
      </c>
      <c r="F14" s="23" t="s">
        <v>132</v>
      </c>
    </row>
    <row r="15" spans="2:7" x14ac:dyDescent="0.2">
      <c r="B15" s="126" t="s">
        <v>163</v>
      </c>
      <c r="C15" s="237">
        <v>4</v>
      </c>
      <c r="E15" s="74" t="s">
        <v>131</v>
      </c>
      <c r="F15" s="242">
        <v>15</v>
      </c>
    </row>
    <row r="16" spans="2:7" x14ac:dyDescent="0.2">
      <c r="B16" s="76" t="s">
        <v>317</v>
      </c>
      <c r="C16" s="238">
        <v>500</v>
      </c>
    </row>
    <row r="17" spans="2:6" x14ac:dyDescent="0.2">
      <c r="B17" s="1" t="s">
        <v>318</v>
      </c>
      <c r="C17" s="238">
        <v>500</v>
      </c>
      <c r="E17" s="446" t="s">
        <v>20</v>
      </c>
      <c r="F17" s="447"/>
    </row>
    <row r="18" spans="2:6" x14ac:dyDescent="0.2">
      <c r="B18" s="76" t="s">
        <v>319</v>
      </c>
      <c r="C18" s="238">
        <v>500</v>
      </c>
      <c r="E18" s="98" t="s">
        <v>101</v>
      </c>
      <c r="F18" s="99" t="s">
        <v>120</v>
      </c>
    </row>
    <row r="19" spans="2:6" x14ac:dyDescent="0.2">
      <c r="B19" s="76" t="s">
        <v>320</v>
      </c>
      <c r="C19" s="238">
        <v>500</v>
      </c>
      <c r="E19" s="20" t="s">
        <v>355</v>
      </c>
      <c r="F19" s="246">
        <v>40</v>
      </c>
    </row>
    <row r="20" spans="2:6" x14ac:dyDescent="0.2">
      <c r="B20" s="329" t="s">
        <v>321</v>
      </c>
      <c r="C20" s="330">
        <v>450</v>
      </c>
      <c r="E20" s="93" t="s">
        <v>356</v>
      </c>
      <c r="F20" s="376">
        <v>40</v>
      </c>
    </row>
    <row r="21" spans="2:6" x14ac:dyDescent="0.2">
      <c r="E21" s="93" t="s">
        <v>357</v>
      </c>
      <c r="F21" s="376">
        <v>40</v>
      </c>
    </row>
    <row r="22" spans="2:6" x14ac:dyDescent="0.2">
      <c r="E22" s="21" t="s">
        <v>358</v>
      </c>
      <c r="F22" s="375">
        <v>40</v>
      </c>
    </row>
  </sheetData>
  <mergeCells count="6">
    <mergeCell ref="E9:F9"/>
    <mergeCell ref="B13:C13"/>
    <mergeCell ref="E17:F17"/>
    <mergeCell ref="E13:F13"/>
    <mergeCell ref="E2:F2"/>
    <mergeCell ref="B2:C2"/>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80" zoomScaleNormal="80" zoomScalePageLayoutView="80" workbookViewId="0">
      <selection activeCell="G49" sqref="G49"/>
    </sheetView>
  </sheetViews>
  <sheetFormatPr baseColWidth="10" defaultColWidth="8.83203125" defaultRowHeight="15" x14ac:dyDescent="0.2"/>
  <cols>
    <col min="2" max="2" width="52.1640625" customWidth="1"/>
    <col min="3" max="3" width="16.6640625" bestFit="1" customWidth="1"/>
    <col min="4" max="4" width="41.5" bestFit="1" customWidth="1"/>
    <col min="5" max="5" width="13.83203125" style="75" customWidth="1"/>
    <col min="6" max="6" width="13.1640625" customWidth="1"/>
    <col min="7" max="7" width="35.33203125" bestFit="1" customWidth="1"/>
    <col min="8" max="8" width="16.6640625" bestFit="1" customWidth="1"/>
    <col min="9" max="9" width="21.83203125" bestFit="1" customWidth="1"/>
  </cols>
  <sheetData>
    <row r="1" spans="1:15" x14ac:dyDescent="0.2">
      <c r="B1" t="s">
        <v>204</v>
      </c>
      <c r="G1" t="s">
        <v>198</v>
      </c>
    </row>
    <row r="2" spans="1:15" x14ac:dyDescent="0.2">
      <c r="B2" s="446" t="s">
        <v>228</v>
      </c>
      <c r="C2" s="516"/>
      <c r="D2" s="447"/>
      <c r="G2" s="446" t="s">
        <v>196</v>
      </c>
      <c r="H2" s="516"/>
      <c r="I2" s="447"/>
    </row>
    <row r="3" spans="1:15" x14ac:dyDescent="0.2">
      <c r="B3" s="22" t="s">
        <v>151</v>
      </c>
      <c r="C3" s="177" t="s">
        <v>120</v>
      </c>
      <c r="D3" s="23" t="s">
        <v>230</v>
      </c>
      <c r="G3" s="98" t="s">
        <v>151</v>
      </c>
      <c r="H3" s="192" t="s">
        <v>120</v>
      </c>
      <c r="I3" s="99" t="s">
        <v>183</v>
      </c>
    </row>
    <row r="4" spans="1:15" x14ac:dyDescent="0.2">
      <c r="B4" s="3" t="s">
        <v>229</v>
      </c>
      <c r="C4" s="243">
        <v>1000</v>
      </c>
      <c r="D4" s="244">
        <v>12</v>
      </c>
      <c r="G4" s="20" t="s">
        <v>193</v>
      </c>
      <c r="H4" s="250">
        <v>4000</v>
      </c>
      <c r="I4" s="333">
        <v>10000</v>
      </c>
    </row>
    <row r="5" spans="1:15" x14ac:dyDescent="0.2">
      <c r="A5" s="12"/>
      <c r="B5" s="12"/>
      <c r="C5" s="195"/>
      <c r="D5" s="128"/>
      <c r="G5" s="3" t="s">
        <v>194</v>
      </c>
      <c r="H5" s="249">
        <v>7000</v>
      </c>
      <c r="I5" s="244">
        <v>10000</v>
      </c>
    </row>
    <row r="6" spans="1:15" x14ac:dyDescent="0.2">
      <c r="B6" t="s">
        <v>204</v>
      </c>
      <c r="I6" s="86"/>
    </row>
    <row r="7" spans="1:15" x14ac:dyDescent="0.2">
      <c r="B7" s="446" t="s">
        <v>150</v>
      </c>
      <c r="C7" s="516"/>
      <c r="D7" s="447"/>
      <c r="E7" s="17"/>
    </row>
    <row r="8" spans="1:15" x14ac:dyDescent="0.2">
      <c r="B8" s="22" t="s">
        <v>151</v>
      </c>
      <c r="C8" s="177" t="s">
        <v>120</v>
      </c>
      <c r="D8" s="23" t="s">
        <v>183</v>
      </c>
      <c r="E8" s="127"/>
      <c r="G8" t="s">
        <v>185</v>
      </c>
    </row>
    <row r="9" spans="1:15" x14ac:dyDescent="0.2">
      <c r="B9" s="20" t="s">
        <v>311</v>
      </c>
      <c r="C9" s="245">
        <v>350</v>
      </c>
      <c r="D9" s="246">
        <v>40</v>
      </c>
      <c r="E9" s="128"/>
      <c r="G9" s="446" t="s">
        <v>184</v>
      </c>
      <c r="H9" s="516"/>
      <c r="I9" s="447"/>
    </row>
    <row r="10" spans="1:15" x14ac:dyDescent="0.2">
      <c r="B10" s="1" t="s">
        <v>312</v>
      </c>
      <c r="C10" s="195">
        <v>1000</v>
      </c>
      <c r="D10" s="247">
        <v>40</v>
      </c>
      <c r="E10" s="128"/>
      <c r="G10" s="98" t="s">
        <v>151</v>
      </c>
      <c r="H10" s="192" t="s">
        <v>120</v>
      </c>
      <c r="I10" s="99" t="s">
        <v>183</v>
      </c>
    </row>
    <row r="11" spans="1:15" x14ac:dyDescent="0.2">
      <c r="B11" s="407"/>
      <c r="C11" s="408"/>
      <c r="D11" s="409"/>
      <c r="E11" s="128"/>
      <c r="G11" s="133" t="s">
        <v>312</v>
      </c>
      <c r="H11" s="250">
        <v>1000</v>
      </c>
      <c r="I11" s="246">
        <v>40</v>
      </c>
    </row>
    <row r="12" spans="1:15" x14ac:dyDescent="0.2">
      <c r="D12" s="12"/>
      <c r="E12" s="18"/>
      <c r="G12" s="3" t="s">
        <v>314</v>
      </c>
      <c r="H12" s="243">
        <v>1500</v>
      </c>
      <c r="I12" s="244">
        <v>6000</v>
      </c>
    </row>
    <row r="14" spans="1:15" x14ac:dyDescent="0.2">
      <c r="B14" t="s">
        <v>199</v>
      </c>
      <c r="G14" t="s">
        <v>190</v>
      </c>
    </row>
    <row r="15" spans="1:15" x14ac:dyDescent="0.2">
      <c r="B15" s="446" t="s">
        <v>197</v>
      </c>
      <c r="C15" s="516"/>
      <c r="D15" s="447"/>
      <c r="E15" s="17"/>
      <c r="G15" s="446" t="s">
        <v>188</v>
      </c>
      <c r="H15" s="516"/>
      <c r="I15" s="447"/>
      <c r="M15" s="12"/>
      <c r="N15" s="12"/>
      <c r="O15" s="12"/>
    </row>
    <row r="16" spans="1:15" x14ac:dyDescent="0.2">
      <c r="B16" s="22" t="s">
        <v>151</v>
      </c>
      <c r="C16" s="177" t="s">
        <v>120</v>
      </c>
      <c r="D16" s="23" t="s">
        <v>183</v>
      </c>
      <c r="E16" s="127"/>
      <c r="G16" s="22" t="s">
        <v>151</v>
      </c>
      <c r="H16" s="177" t="s">
        <v>120</v>
      </c>
      <c r="I16" s="23" t="s">
        <v>183</v>
      </c>
      <c r="M16" s="12"/>
      <c r="N16" s="14"/>
      <c r="O16" s="12"/>
    </row>
    <row r="17" spans="2:15" x14ac:dyDescent="0.2">
      <c r="B17" s="20" t="s">
        <v>195</v>
      </c>
      <c r="C17" s="245">
        <v>80</v>
      </c>
      <c r="D17" s="246">
        <f>250-80</f>
        <v>170</v>
      </c>
      <c r="E17" s="128"/>
      <c r="G17" s="74" t="s">
        <v>187</v>
      </c>
      <c r="H17" s="251">
        <v>700</v>
      </c>
      <c r="I17" s="242">
        <v>4000</v>
      </c>
      <c r="M17" s="12"/>
      <c r="N17" s="14"/>
      <c r="O17" s="12"/>
    </row>
    <row r="18" spans="2:15" x14ac:dyDescent="0.2">
      <c r="B18" s="1" t="s">
        <v>312</v>
      </c>
      <c r="C18" s="195">
        <v>1000</v>
      </c>
      <c r="D18" s="247">
        <v>40</v>
      </c>
      <c r="E18" s="128"/>
      <c r="M18" s="12"/>
      <c r="N18" s="14"/>
      <c r="O18" s="12"/>
    </row>
    <row r="19" spans="2:15" x14ac:dyDescent="0.2">
      <c r="B19" s="93" t="s">
        <v>192</v>
      </c>
      <c r="C19" s="248">
        <v>6000</v>
      </c>
      <c r="D19" s="332">
        <v>3000</v>
      </c>
      <c r="E19" s="128"/>
      <c r="M19" s="12"/>
      <c r="N19" s="127"/>
      <c r="O19" s="12"/>
    </row>
    <row r="20" spans="2:15" x14ac:dyDescent="0.2">
      <c r="B20" s="407"/>
      <c r="C20" s="408"/>
      <c r="D20" s="427"/>
      <c r="E20" s="18"/>
      <c r="M20" s="12"/>
      <c r="N20" s="127"/>
      <c r="O20" s="12"/>
    </row>
    <row r="21" spans="2:15" x14ac:dyDescent="0.2">
      <c r="B21" s="12"/>
      <c r="C21" s="12"/>
      <c r="D21" s="12"/>
      <c r="E21" s="18"/>
      <c r="M21" s="12"/>
      <c r="N21" s="127"/>
      <c r="O21" s="12"/>
    </row>
    <row r="22" spans="2:15" x14ac:dyDescent="0.2">
      <c r="B22" t="s">
        <v>191</v>
      </c>
      <c r="M22" s="12"/>
      <c r="N22" s="127"/>
      <c r="O22" s="12"/>
    </row>
    <row r="23" spans="2:15" x14ac:dyDescent="0.2">
      <c r="B23" s="446" t="s">
        <v>189</v>
      </c>
      <c r="C23" s="516"/>
      <c r="D23" s="447"/>
      <c r="E23" s="17"/>
      <c r="M23" s="12"/>
      <c r="N23" s="127"/>
      <c r="O23" s="12"/>
    </row>
    <row r="24" spans="2:15" x14ac:dyDescent="0.2">
      <c r="B24" s="22" t="s">
        <v>151</v>
      </c>
      <c r="C24" s="177" t="s">
        <v>120</v>
      </c>
      <c r="D24" s="23" t="s">
        <v>183</v>
      </c>
      <c r="E24" s="127"/>
      <c r="M24" s="12"/>
      <c r="N24" s="127"/>
      <c r="O24" s="12"/>
    </row>
    <row r="25" spans="2:15" x14ac:dyDescent="0.2">
      <c r="B25" s="20" t="s">
        <v>313</v>
      </c>
      <c r="C25" s="245">
        <v>250</v>
      </c>
      <c r="D25" s="246">
        <v>40</v>
      </c>
      <c r="E25" s="128"/>
      <c r="M25" s="12"/>
      <c r="N25" s="127"/>
      <c r="O25" s="12"/>
    </row>
    <row r="26" spans="2:15" x14ac:dyDescent="0.2">
      <c r="B26" s="1" t="s">
        <v>186</v>
      </c>
      <c r="C26" s="195">
        <v>1500</v>
      </c>
      <c r="D26" s="247">
        <v>40</v>
      </c>
      <c r="E26" s="128"/>
      <c r="G26" s="14"/>
      <c r="H26" s="176"/>
      <c r="I26" s="114"/>
      <c r="M26" s="12"/>
      <c r="N26" s="127"/>
      <c r="O26" s="12"/>
    </row>
    <row r="27" spans="2:15" x14ac:dyDescent="0.2">
      <c r="B27" s="21" t="s">
        <v>306</v>
      </c>
      <c r="C27" s="335"/>
      <c r="D27" s="244">
        <v>40</v>
      </c>
      <c r="E27" s="128"/>
      <c r="G27" s="14"/>
      <c r="H27" s="12"/>
      <c r="M27" s="12"/>
      <c r="N27" s="14"/>
      <c r="O27" s="12"/>
    </row>
    <row r="28" spans="2:15" x14ac:dyDescent="0.2">
      <c r="G28" s="14"/>
      <c r="H28" s="12"/>
      <c r="M28" s="12"/>
      <c r="N28" s="127"/>
      <c r="O28" s="12"/>
    </row>
    <row r="29" spans="2:15" x14ac:dyDescent="0.2">
      <c r="G29" s="127"/>
      <c r="H29" s="12"/>
      <c r="M29" s="12"/>
      <c r="N29" s="12"/>
      <c r="O29" s="12"/>
    </row>
    <row r="30" spans="2:15" x14ac:dyDescent="0.2">
      <c r="B30" t="s">
        <v>203</v>
      </c>
      <c r="G30" s="127"/>
      <c r="H30" s="12"/>
    </row>
    <row r="31" spans="2:15" x14ac:dyDescent="0.2">
      <c r="B31" s="446" t="s">
        <v>202</v>
      </c>
      <c r="C31" s="516"/>
      <c r="D31" s="447"/>
      <c r="E31" s="17"/>
      <c r="G31" s="127"/>
      <c r="H31" s="12"/>
    </row>
    <row r="32" spans="2:15" x14ac:dyDescent="0.2">
      <c r="B32" s="22" t="s">
        <v>151</v>
      </c>
      <c r="C32" s="177" t="s">
        <v>120</v>
      </c>
      <c r="D32" s="23" t="s">
        <v>183</v>
      </c>
      <c r="E32" s="127"/>
      <c r="G32" s="127"/>
      <c r="H32" s="12"/>
    </row>
    <row r="33" spans="2:8" x14ac:dyDescent="0.2">
      <c r="B33" s="20" t="s">
        <v>201</v>
      </c>
      <c r="C33" s="245">
        <v>7000</v>
      </c>
      <c r="D33" s="333">
        <v>3000</v>
      </c>
      <c r="E33" s="128"/>
      <c r="G33" s="127"/>
      <c r="H33" s="12"/>
    </row>
    <row r="34" spans="2:8" x14ac:dyDescent="0.2">
      <c r="B34" s="3" t="s">
        <v>200</v>
      </c>
      <c r="C34" s="249">
        <v>16000</v>
      </c>
      <c r="D34" s="334">
        <v>6000</v>
      </c>
      <c r="E34" s="128"/>
      <c r="G34" s="127"/>
      <c r="H34" s="12"/>
    </row>
    <row r="35" spans="2:8" x14ac:dyDescent="0.2">
      <c r="B35" s="12"/>
      <c r="C35" s="12"/>
      <c r="D35" s="12"/>
      <c r="E35" s="18"/>
      <c r="G35" s="127"/>
      <c r="H35" s="12"/>
    </row>
    <row r="36" spans="2:8" x14ac:dyDescent="0.2">
      <c r="B36" s="12"/>
      <c r="C36" s="12"/>
      <c r="D36" s="12"/>
      <c r="E36" s="18"/>
      <c r="G36" s="127"/>
      <c r="H36" s="12"/>
    </row>
    <row r="37" spans="2:8" x14ac:dyDescent="0.2">
      <c r="G37" s="127"/>
      <c r="H37" s="12"/>
    </row>
    <row r="38" spans="2:8" x14ac:dyDescent="0.2">
      <c r="G38" s="14"/>
      <c r="H38" s="12"/>
    </row>
    <row r="39" spans="2:8" x14ac:dyDescent="0.2">
      <c r="G39" s="127"/>
      <c r="H39" s="12"/>
    </row>
  </sheetData>
  <mergeCells count="8">
    <mergeCell ref="B2:D2"/>
    <mergeCell ref="G2:I2"/>
    <mergeCell ref="G9:I9"/>
    <mergeCell ref="B23:D23"/>
    <mergeCell ref="B31:D31"/>
    <mergeCell ref="G15:I15"/>
    <mergeCell ref="B7:D7"/>
    <mergeCell ref="B15:D15"/>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4"/>
  <sheetViews>
    <sheetView topLeftCell="A10" zoomScale="56" zoomScaleNormal="70" zoomScaleSheetLayoutView="55" zoomScalePageLayoutView="70" workbookViewId="0">
      <selection activeCell="F12" sqref="F12"/>
    </sheetView>
  </sheetViews>
  <sheetFormatPr baseColWidth="10" defaultColWidth="8.83203125" defaultRowHeight="21" x14ac:dyDescent="0.25"/>
  <cols>
    <col min="1" max="1" width="30.1640625" style="28" customWidth="1"/>
    <col min="2" max="2" width="35.5" style="28" customWidth="1"/>
    <col min="3" max="3" width="19.1640625" style="28" customWidth="1"/>
    <col min="4" max="4" width="22.33203125" style="28" customWidth="1"/>
    <col min="5" max="5" width="16.1640625" style="28" bestFit="1" customWidth="1"/>
    <col min="6" max="6" width="30.1640625" style="28" customWidth="1"/>
    <col min="7" max="10" width="21.33203125" style="28" customWidth="1"/>
    <col min="11" max="11" width="13.6640625" style="28" customWidth="1"/>
    <col min="12" max="12" width="18" style="28" bestFit="1" customWidth="1"/>
    <col min="13" max="13" width="16.6640625" style="28" customWidth="1"/>
    <col min="14" max="14" width="12.33203125" style="28" customWidth="1"/>
    <col min="15" max="15" width="12.1640625" style="28" customWidth="1"/>
    <col min="16" max="17" width="16.83203125" style="28" customWidth="1"/>
    <col min="18" max="18" width="10.6640625" style="28" customWidth="1"/>
    <col min="19" max="254" width="8.83203125" style="28"/>
    <col min="255" max="255" width="29.5" style="28" customWidth="1"/>
    <col min="256" max="256" width="22.83203125" style="28" customWidth="1"/>
    <col min="257" max="257" width="14.33203125" style="28" customWidth="1"/>
    <col min="258" max="258" width="21" style="28" customWidth="1"/>
    <col min="259" max="259" width="8.33203125" style="28" bestFit="1" customWidth="1"/>
    <col min="260" max="260" width="9.33203125" style="28" bestFit="1" customWidth="1"/>
    <col min="261" max="261" width="20" style="28" bestFit="1" customWidth="1"/>
    <col min="262" max="262" width="13.6640625" style="28" bestFit="1" customWidth="1"/>
    <col min="263" max="263" width="16.1640625" style="28" bestFit="1" customWidth="1"/>
    <col min="264" max="264" width="12.1640625" style="28" bestFit="1" customWidth="1"/>
    <col min="265" max="265" width="10.6640625" style="28" bestFit="1" customWidth="1"/>
    <col min="266" max="266" width="12.83203125" style="28" bestFit="1" customWidth="1"/>
    <col min="267" max="267" width="10.6640625" style="28" bestFit="1" customWidth="1"/>
    <col min="268" max="268" width="12.83203125" style="28" bestFit="1" customWidth="1"/>
    <col min="269" max="269" width="8.83203125" style="28" bestFit="1" customWidth="1"/>
    <col min="270" max="510" width="8.83203125" style="28"/>
    <col min="511" max="511" width="29.5" style="28" customWidth="1"/>
    <col min="512" max="512" width="22.83203125" style="28" customWidth="1"/>
    <col min="513" max="513" width="14.33203125" style="28" customWidth="1"/>
    <col min="514" max="514" width="21" style="28" customWidth="1"/>
    <col min="515" max="515" width="8.33203125" style="28" bestFit="1" customWidth="1"/>
    <col min="516" max="516" width="9.33203125" style="28" bestFit="1" customWidth="1"/>
    <col min="517" max="517" width="20" style="28" bestFit="1" customWidth="1"/>
    <col min="518" max="518" width="13.6640625" style="28" bestFit="1" customWidth="1"/>
    <col min="519" max="519" width="16.1640625" style="28" bestFit="1" customWidth="1"/>
    <col min="520" max="520" width="12.1640625" style="28" bestFit="1" customWidth="1"/>
    <col min="521" max="521" width="10.6640625" style="28" bestFit="1" customWidth="1"/>
    <col min="522" max="522" width="12.83203125" style="28" bestFit="1" customWidth="1"/>
    <col min="523" max="523" width="10.6640625" style="28" bestFit="1" customWidth="1"/>
    <col min="524" max="524" width="12.83203125" style="28" bestFit="1" customWidth="1"/>
    <col min="525" max="525" width="8.83203125" style="28" bestFit="1" customWidth="1"/>
    <col min="526" max="766" width="8.83203125" style="28"/>
    <col min="767" max="767" width="29.5" style="28" customWidth="1"/>
    <col min="768" max="768" width="22.83203125" style="28" customWidth="1"/>
    <col min="769" max="769" width="14.33203125" style="28" customWidth="1"/>
    <col min="770" max="770" width="21" style="28" customWidth="1"/>
    <col min="771" max="771" width="8.33203125" style="28" bestFit="1" customWidth="1"/>
    <col min="772" max="772" width="9.33203125" style="28" bestFit="1" customWidth="1"/>
    <col min="773" max="773" width="20" style="28" bestFit="1" customWidth="1"/>
    <col min="774" max="774" width="13.6640625" style="28" bestFit="1" customWidth="1"/>
    <col min="775" max="775" width="16.1640625" style="28" bestFit="1" customWidth="1"/>
    <col min="776" max="776" width="12.1640625" style="28" bestFit="1" customWidth="1"/>
    <col min="777" max="777" width="10.6640625" style="28" bestFit="1" customWidth="1"/>
    <col min="778" max="778" width="12.83203125" style="28" bestFit="1" customWidth="1"/>
    <col min="779" max="779" width="10.6640625" style="28" bestFit="1" customWidth="1"/>
    <col min="780" max="780" width="12.83203125" style="28" bestFit="1" customWidth="1"/>
    <col min="781" max="781" width="8.83203125" style="28" bestFit="1" customWidth="1"/>
    <col min="782" max="1022" width="8.83203125" style="28"/>
    <col min="1023" max="1023" width="29.5" style="28" customWidth="1"/>
    <col min="1024" max="1024" width="22.83203125" style="28" customWidth="1"/>
    <col min="1025" max="1025" width="14.33203125" style="28" customWidth="1"/>
    <col min="1026" max="1026" width="21" style="28" customWidth="1"/>
    <col min="1027" max="1027" width="8.33203125" style="28" bestFit="1" customWidth="1"/>
    <col min="1028" max="1028" width="9.33203125" style="28" bestFit="1" customWidth="1"/>
    <col min="1029" max="1029" width="20" style="28" bestFit="1" customWidth="1"/>
    <col min="1030" max="1030" width="13.6640625" style="28" bestFit="1" customWidth="1"/>
    <col min="1031" max="1031" width="16.1640625" style="28" bestFit="1" customWidth="1"/>
    <col min="1032" max="1032" width="12.1640625" style="28" bestFit="1" customWidth="1"/>
    <col min="1033" max="1033" width="10.6640625" style="28" bestFit="1" customWidth="1"/>
    <col min="1034" max="1034" width="12.83203125" style="28" bestFit="1" customWidth="1"/>
    <col min="1035" max="1035" width="10.6640625" style="28" bestFit="1" customWidth="1"/>
    <col min="1036" max="1036" width="12.83203125" style="28" bestFit="1" customWidth="1"/>
    <col min="1037" max="1037" width="8.83203125" style="28" bestFit="1" customWidth="1"/>
    <col min="1038" max="1278" width="8.83203125" style="28"/>
    <col min="1279" max="1279" width="29.5" style="28" customWidth="1"/>
    <col min="1280" max="1280" width="22.83203125" style="28" customWidth="1"/>
    <col min="1281" max="1281" width="14.33203125" style="28" customWidth="1"/>
    <col min="1282" max="1282" width="21" style="28" customWidth="1"/>
    <col min="1283" max="1283" width="8.33203125" style="28" bestFit="1" customWidth="1"/>
    <col min="1284" max="1284" width="9.33203125" style="28" bestFit="1" customWidth="1"/>
    <col min="1285" max="1285" width="20" style="28" bestFit="1" customWidth="1"/>
    <col min="1286" max="1286" width="13.6640625" style="28" bestFit="1" customWidth="1"/>
    <col min="1287" max="1287" width="16.1640625" style="28" bestFit="1" customWidth="1"/>
    <col min="1288" max="1288" width="12.1640625" style="28" bestFit="1" customWidth="1"/>
    <col min="1289" max="1289" width="10.6640625" style="28" bestFit="1" customWidth="1"/>
    <col min="1290" max="1290" width="12.83203125" style="28" bestFit="1" customWidth="1"/>
    <col min="1291" max="1291" width="10.6640625" style="28" bestFit="1" customWidth="1"/>
    <col min="1292" max="1292" width="12.83203125" style="28" bestFit="1" customWidth="1"/>
    <col min="1293" max="1293" width="8.83203125" style="28" bestFit="1" customWidth="1"/>
    <col min="1294" max="1534" width="8.83203125" style="28"/>
    <col min="1535" max="1535" width="29.5" style="28" customWidth="1"/>
    <col min="1536" max="1536" width="22.83203125" style="28" customWidth="1"/>
    <col min="1537" max="1537" width="14.33203125" style="28" customWidth="1"/>
    <col min="1538" max="1538" width="21" style="28" customWidth="1"/>
    <col min="1539" max="1539" width="8.33203125" style="28" bestFit="1" customWidth="1"/>
    <col min="1540" max="1540" width="9.33203125" style="28" bestFit="1" customWidth="1"/>
    <col min="1541" max="1541" width="20" style="28" bestFit="1" customWidth="1"/>
    <col min="1542" max="1542" width="13.6640625" style="28" bestFit="1" customWidth="1"/>
    <col min="1543" max="1543" width="16.1640625" style="28" bestFit="1" customWidth="1"/>
    <col min="1544" max="1544" width="12.1640625" style="28" bestFit="1" customWidth="1"/>
    <col min="1545" max="1545" width="10.6640625" style="28" bestFit="1" customWidth="1"/>
    <col min="1546" max="1546" width="12.83203125" style="28" bestFit="1" customWidth="1"/>
    <col min="1547" max="1547" width="10.6640625" style="28" bestFit="1" customWidth="1"/>
    <col min="1548" max="1548" width="12.83203125" style="28" bestFit="1" customWidth="1"/>
    <col min="1549" max="1549" width="8.83203125" style="28" bestFit="1" customWidth="1"/>
    <col min="1550" max="1790" width="8.83203125" style="28"/>
    <col min="1791" max="1791" width="29.5" style="28" customWidth="1"/>
    <col min="1792" max="1792" width="22.83203125" style="28" customWidth="1"/>
    <col min="1793" max="1793" width="14.33203125" style="28" customWidth="1"/>
    <col min="1794" max="1794" width="21" style="28" customWidth="1"/>
    <col min="1795" max="1795" width="8.33203125" style="28" bestFit="1" customWidth="1"/>
    <col min="1796" max="1796" width="9.33203125" style="28" bestFit="1" customWidth="1"/>
    <col min="1797" max="1797" width="20" style="28" bestFit="1" customWidth="1"/>
    <col min="1798" max="1798" width="13.6640625" style="28" bestFit="1" customWidth="1"/>
    <col min="1799" max="1799" width="16.1640625" style="28" bestFit="1" customWidth="1"/>
    <col min="1800" max="1800" width="12.1640625" style="28" bestFit="1" customWidth="1"/>
    <col min="1801" max="1801" width="10.6640625" style="28" bestFit="1" customWidth="1"/>
    <col min="1802" max="1802" width="12.83203125" style="28" bestFit="1" customWidth="1"/>
    <col min="1803" max="1803" width="10.6640625" style="28" bestFit="1" customWidth="1"/>
    <col min="1804" max="1804" width="12.83203125" style="28" bestFit="1" customWidth="1"/>
    <col min="1805" max="1805" width="8.83203125" style="28" bestFit="1" customWidth="1"/>
    <col min="1806" max="2046" width="8.83203125" style="28"/>
    <col min="2047" max="2047" width="29.5" style="28" customWidth="1"/>
    <col min="2048" max="2048" width="22.83203125" style="28" customWidth="1"/>
    <col min="2049" max="2049" width="14.33203125" style="28" customWidth="1"/>
    <col min="2050" max="2050" width="21" style="28" customWidth="1"/>
    <col min="2051" max="2051" width="8.33203125" style="28" bestFit="1" customWidth="1"/>
    <col min="2052" max="2052" width="9.33203125" style="28" bestFit="1" customWidth="1"/>
    <col min="2053" max="2053" width="20" style="28" bestFit="1" customWidth="1"/>
    <col min="2054" max="2054" width="13.6640625" style="28" bestFit="1" customWidth="1"/>
    <col min="2055" max="2055" width="16.1640625" style="28" bestFit="1" customWidth="1"/>
    <col min="2056" max="2056" width="12.1640625" style="28" bestFit="1" customWidth="1"/>
    <col min="2057" max="2057" width="10.6640625" style="28" bestFit="1" customWidth="1"/>
    <col min="2058" max="2058" width="12.83203125" style="28" bestFit="1" customWidth="1"/>
    <col min="2059" max="2059" width="10.6640625" style="28" bestFit="1" customWidth="1"/>
    <col min="2060" max="2060" width="12.83203125" style="28" bestFit="1" customWidth="1"/>
    <col min="2061" max="2061" width="8.83203125" style="28" bestFit="1" customWidth="1"/>
    <col min="2062" max="2302" width="8.83203125" style="28"/>
    <col min="2303" max="2303" width="29.5" style="28" customWidth="1"/>
    <col min="2304" max="2304" width="22.83203125" style="28" customWidth="1"/>
    <col min="2305" max="2305" width="14.33203125" style="28" customWidth="1"/>
    <col min="2306" max="2306" width="21" style="28" customWidth="1"/>
    <col min="2307" max="2307" width="8.33203125" style="28" bestFit="1" customWidth="1"/>
    <col min="2308" max="2308" width="9.33203125" style="28" bestFit="1" customWidth="1"/>
    <col min="2309" max="2309" width="20" style="28" bestFit="1" customWidth="1"/>
    <col min="2310" max="2310" width="13.6640625" style="28" bestFit="1" customWidth="1"/>
    <col min="2311" max="2311" width="16.1640625" style="28" bestFit="1" customWidth="1"/>
    <col min="2312" max="2312" width="12.1640625" style="28" bestFit="1" customWidth="1"/>
    <col min="2313" max="2313" width="10.6640625" style="28" bestFit="1" customWidth="1"/>
    <col min="2314" max="2314" width="12.83203125" style="28" bestFit="1" customWidth="1"/>
    <col min="2315" max="2315" width="10.6640625" style="28" bestFit="1" customWidth="1"/>
    <col min="2316" max="2316" width="12.83203125" style="28" bestFit="1" customWidth="1"/>
    <col min="2317" max="2317" width="8.83203125" style="28" bestFit="1" customWidth="1"/>
    <col min="2318" max="2558" width="8.83203125" style="28"/>
    <col min="2559" max="2559" width="29.5" style="28" customWidth="1"/>
    <col min="2560" max="2560" width="22.83203125" style="28" customWidth="1"/>
    <col min="2561" max="2561" width="14.33203125" style="28" customWidth="1"/>
    <col min="2562" max="2562" width="21" style="28" customWidth="1"/>
    <col min="2563" max="2563" width="8.33203125" style="28" bestFit="1" customWidth="1"/>
    <col min="2564" max="2564" width="9.33203125" style="28" bestFit="1" customWidth="1"/>
    <col min="2565" max="2565" width="20" style="28" bestFit="1" customWidth="1"/>
    <col min="2566" max="2566" width="13.6640625" style="28" bestFit="1" customWidth="1"/>
    <col min="2567" max="2567" width="16.1640625" style="28" bestFit="1" customWidth="1"/>
    <col min="2568" max="2568" width="12.1640625" style="28" bestFit="1" customWidth="1"/>
    <col min="2569" max="2569" width="10.6640625" style="28" bestFit="1" customWidth="1"/>
    <col min="2570" max="2570" width="12.83203125" style="28" bestFit="1" customWidth="1"/>
    <col min="2571" max="2571" width="10.6640625" style="28" bestFit="1" customWidth="1"/>
    <col min="2572" max="2572" width="12.83203125" style="28" bestFit="1" customWidth="1"/>
    <col min="2573" max="2573" width="8.83203125" style="28" bestFit="1" customWidth="1"/>
    <col min="2574" max="2814" width="8.83203125" style="28"/>
    <col min="2815" max="2815" width="29.5" style="28" customWidth="1"/>
    <col min="2816" max="2816" width="22.83203125" style="28" customWidth="1"/>
    <col min="2817" max="2817" width="14.33203125" style="28" customWidth="1"/>
    <col min="2818" max="2818" width="21" style="28" customWidth="1"/>
    <col min="2819" max="2819" width="8.33203125" style="28" bestFit="1" customWidth="1"/>
    <col min="2820" max="2820" width="9.33203125" style="28" bestFit="1" customWidth="1"/>
    <col min="2821" max="2821" width="20" style="28" bestFit="1" customWidth="1"/>
    <col min="2822" max="2822" width="13.6640625" style="28" bestFit="1" customWidth="1"/>
    <col min="2823" max="2823" width="16.1640625" style="28" bestFit="1" customWidth="1"/>
    <col min="2824" max="2824" width="12.1640625" style="28" bestFit="1" customWidth="1"/>
    <col min="2825" max="2825" width="10.6640625" style="28" bestFit="1" customWidth="1"/>
    <col min="2826" max="2826" width="12.83203125" style="28" bestFit="1" customWidth="1"/>
    <col min="2827" max="2827" width="10.6640625" style="28" bestFit="1" customWidth="1"/>
    <col min="2828" max="2828" width="12.83203125" style="28" bestFit="1" customWidth="1"/>
    <col min="2829" max="2829" width="8.83203125" style="28" bestFit="1" customWidth="1"/>
    <col min="2830" max="3070" width="8.83203125" style="28"/>
    <col min="3071" max="3071" width="29.5" style="28" customWidth="1"/>
    <col min="3072" max="3072" width="22.83203125" style="28" customWidth="1"/>
    <col min="3073" max="3073" width="14.33203125" style="28" customWidth="1"/>
    <col min="3074" max="3074" width="21" style="28" customWidth="1"/>
    <col min="3075" max="3075" width="8.33203125" style="28" bestFit="1" customWidth="1"/>
    <col min="3076" max="3076" width="9.33203125" style="28" bestFit="1" customWidth="1"/>
    <col min="3077" max="3077" width="20" style="28" bestFit="1" customWidth="1"/>
    <col min="3078" max="3078" width="13.6640625" style="28" bestFit="1" customWidth="1"/>
    <col min="3079" max="3079" width="16.1640625" style="28" bestFit="1" customWidth="1"/>
    <col min="3080" max="3080" width="12.1640625" style="28" bestFit="1" customWidth="1"/>
    <col min="3081" max="3081" width="10.6640625" style="28" bestFit="1" customWidth="1"/>
    <col min="3082" max="3082" width="12.83203125" style="28" bestFit="1" customWidth="1"/>
    <col min="3083" max="3083" width="10.6640625" style="28" bestFit="1" customWidth="1"/>
    <col min="3084" max="3084" width="12.83203125" style="28" bestFit="1" customWidth="1"/>
    <col min="3085" max="3085" width="8.83203125" style="28" bestFit="1" customWidth="1"/>
    <col min="3086" max="3326" width="8.83203125" style="28"/>
    <col min="3327" max="3327" width="29.5" style="28" customWidth="1"/>
    <col min="3328" max="3328" width="22.83203125" style="28" customWidth="1"/>
    <col min="3329" max="3329" width="14.33203125" style="28" customWidth="1"/>
    <col min="3330" max="3330" width="21" style="28" customWidth="1"/>
    <col min="3331" max="3331" width="8.33203125" style="28" bestFit="1" customWidth="1"/>
    <col min="3332" max="3332" width="9.33203125" style="28" bestFit="1" customWidth="1"/>
    <col min="3333" max="3333" width="20" style="28" bestFit="1" customWidth="1"/>
    <col min="3334" max="3334" width="13.6640625" style="28" bestFit="1" customWidth="1"/>
    <col min="3335" max="3335" width="16.1640625" style="28" bestFit="1" customWidth="1"/>
    <col min="3336" max="3336" width="12.1640625" style="28" bestFit="1" customWidth="1"/>
    <col min="3337" max="3337" width="10.6640625" style="28" bestFit="1" customWidth="1"/>
    <col min="3338" max="3338" width="12.83203125" style="28" bestFit="1" customWidth="1"/>
    <col min="3339" max="3339" width="10.6640625" style="28" bestFit="1" customWidth="1"/>
    <col min="3340" max="3340" width="12.83203125" style="28" bestFit="1" customWidth="1"/>
    <col min="3341" max="3341" width="8.83203125" style="28" bestFit="1" customWidth="1"/>
    <col min="3342" max="3582" width="8.83203125" style="28"/>
    <col min="3583" max="3583" width="29.5" style="28" customWidth="1"/>
    <col min="3584" max="3584" width="22.83203125" style="28" customWidth="1"/>
    <col min="3585" max="3585" width="14.33203125" style="28" customWidth="1"/>
    <col min="3586" max="3586" width="21" style="28" customWidth="1"/>
    <col min="3587" max="3587" width="8.33203125" style="28" bestFit="1" customWidth="1"/>
    <col min="3588" max="3588" width="9.33203125" style="28" bestFit="1" customWidth="1"/>
    <col min="3589" max="3589" width="20" style="28" bestFit="1" customWidth="1"/>
    <col min="3590" max="3590" width="13.6640625" style="28" bestFit="1" customWidth="1"/>
    <col min="3591" max="3591" width="16.1640625" style="28" bestFit="1" customWidth="1"/>
    <col min="3592" max="3592" width="12.1640625" style="28" bestFit="1" customWidth="1"/>
    <col min="3593" max="3593" width="10.6640625" style="28" bestFit="1" customWidth="1"/>
    <col min="3594" max="3594" width="12.83203125" style="28" bestFit="1" customWidth="1"/>
    <col min="3595" max="3595" width="10.6640625" style="28" bestFit="1" customWidth="1"/>
    <col min="3596" max="3596" width="12.83203125" style="28" bestFit="1" customWidth="1"/>
    <col min="3597" max="3597" width="8.83203125" style="28" bestFit="1" customWidth="1"/>
    <col min="3598" max="3838" width="8.83203125" style="28"/>
    <col min="3839" max="3839" width="29.5" style="28" customWidth="1"/>
    <col min="3840" max="3840" width="22.83203125" style="28" customWidth="1"/>
    <col min="3841" max="3841" width="14.33203125" style="28" customWidth="1"/>
    <col min="3842" max="3842" width="21" style="28" customWidth="1"/>
    <col min="3843" max="3843" width="8.33203125" style="28" bestFit="1" customWidth="1"/>
    <col min="3844" max="3844" width="9.33203125" style="28" bestFit="1" customWidth="1"/>
    <col min="3845" max="3845" width="20" style="28" bestFit="1" customWidth="1"/>
    <col min="3846" max="3846" width="13.6640625" style="28" bestFit="1" customWidth="1"/>
    <col min="3847" max="3847" width="16.1640625" style="28" bestFit="1" customWidth="1"/>
    <col min="3848" max="3848" width="12.1640625" style="28" bestFit="1" customWidth="1"/>
    <col min="3849" max="3849" width="10.6640625" style="28" bestFit="1" customWidth="1"/>
    <col min="3850" max="3850" width="12.83203125" style="28" bestFit="1" customWidth="1"/>
    <col min="3851" max="3851" width="10.6640625" style="28" bestFit="1" customWidth="1"/>
    <col min="3852" max="3852" width="12.83203125" style="28" bestFit="1" customWidth="1"/>
    <col min="3853" max="3853" width="8.83203125" style="28" bestFit="1" customWidth="1"/>
    <col min="3854" max="4094" width="8.83203125" style="28"/>
    <col min="4095" max="4095" width="29.5" style="28" customWidth="1"/>
    <col min="4096" max="4096" width="22.83203125" style="28" customWidth="1"/>
    <col min="4097" max="4097" width="14.33203125" style="28" customWidth="1"/>
    <col min="4098" max="4098" width="21" style="28" customWidth="1"/>
    <col min="4099" max="4099" width="8.33203125" style="28" bestFit="1" customWidth="1"/>
    <col min="4100" max="4100" width="9.33203125" style="28" bestFit="1" customWidth="1"/>
    <col min="4101" max="4101" width="20" style="28" bestFit="1" customWidth="1"/>
    <col min="4102" max="4102" width="13.6640625" style="28" bestFit="1" customWidth="1"/>
    <col min="4103" max="4103" width="16.1640625" style="28" bestFit="1" customWidth="1"/>
    <col min="4104" max="4104" width="12.1640625" style="28" bestFit="1" customWidth="1"/>
    <col min="4105" max="4105" width="10.6640625" style="28" bestFit="1" customWidth="1"/>
    <col min="4106" max="4106" width="12.83203125" style="28" bestFit="1" customWidth="1"/>
    <col min="4107" max="4107" width="10.6640625" style="28" bestFit="1" customWidth="1"/>
    <col min="4108" max="4108" width="12.83203125" style="28" bestFit="1" customWidth="1"/>
    <col min="4109" max="4109" width="8.83203125" style="28" bestFit="1" customWidth="1"/>
    <col min="4110" max="4350" width="8.83203125" style="28"/>
    <col min="4351" max="4351" width="29.5" style="28" customWidth="1"/>
    <col min="4352" max="4352" width="22.83203125" style="28" customWidth="1"/>
    <col min="4353" max="4353" width="14.33203125" style="28" customWidth="1"/>
    <col min="4354" max="4354" width="21" style="28" customWidth="1"/>
    <col min="4355" max="4355" width="8.33203125" style="28" bestFit="1" customWidth="1"/>
    <col min="4356" max="4356" width="9.33203125" style="28" bestFit="1" customWidth="1"/>
    <col min="4357" max="4357" width="20" style="28" bestFit="1" customWidth="1"/>
    <col min="4358" max="4358" width="13.6640625" style="28" bestFit="1" customWidth="1"/>
    <col min="4359" max="4359" width="16.1640625" style="28" bestFit="1" customWidth="1"/>
    <col min="4360" max="4360" width="12.1640625" style="28" bestFit="1" customWidth="1"/>
    <col min="4361" max="4361" width="10.6640625" style="28" bestFit="1" customWidth="1"/>
    <col min="4362" max="4362" width="12.83203125" style="28" bestFit="1" customWidth="1"/>
    <col min="4363" max="4363" width="10.6640625" style="28" bestFit="1" customWidth="1"/>
    <col min="4364" max="4364" width="12.83203125" style="28" bestFit="1" customWidth="1"/>
    <col min="4365" max="4365" width="8.83203125" style="28" bestFit="1" customWidth="1"/>
    <col min="4366" max="4606" width="8.83203125" style="28"/>
    <col min="4607" max="4607" width="29.5" style="28" customWidth="1"/>
    <col min="4608" max="4608" width="22.83203125" style="28" customWidth="1"/>
    <col min="4609" max="4609" width="14.33203125" style="28" customWidth="1"/>
    <col min="4610" max="4610" width="21" style="28" customWidth="1"/>
    <col min="4611" max="4611" width="8.33203125" style="28" bestFit="1" customWidth="1"/>
    <col min="4612" max="4612" width="9.33203125" style="28" bestFit="1" customWidth="1"/>
    <col min="4613" max="4613" width="20" style="28" bestFit="1" customWidth="1"/>
    <col min="4614" max="4614" width="13.6640625" style="28" bestFit="1" customWidth="1"/>
    <col min="4615" max="4615" width="16.1640625" style="28" bestFit="1" customWidth="1"/>
    <col min="4616" max="4616" width="12.1640625" style="28" bestFit="1" customWidth="1"/>
    <col min="4617" max="4617" width="10.6640625" style="28" bestFit="1" customWidth="1"/>
    <col min="4618" max="4618" width="12.83203125" style="28" bestFit="1" customWidth="1"/>
    <col min="4619" max="4619" width="10.6640625" style="28" bestFit="1" customWidth="1"/>
    <col min="4620" max="4620" width="12.83203125" style="28" bestFit="1" customWidth="1"/>
    <col min="4621" max="4621" width="8.83203125" style="28" bestFit="1" customWidth="1"/>
    <col min="4622" max="4862" width="8.83203125" style="28"/>
    <col min="4863" max="4863" width="29.5" style="28" customWidth="1"/>
    <col min="4864" max="4864" width="22.83203125" style="28" customWidth="1"/>
    <col min="4865" max="4865" width="14.33203125" style="28" customWidth="1"/>
    <col min="4866" max="4866" width="21" style="28" customWidth="1"/>
    <col min="4867" max="4867" width="8.33203125" style="28" bestFit="1" customWidth="1"/>
    <col min="4868" max="4868" width="9.33203125" style="28" bestFit="1" customWidth="1"/>
    <col min="4869" max="4869" width="20" style="28" bestFit="1" customWidth="1"/>
    <col min="4870" max="4870" width="13.6640625" style="28" bestFit="1" customWidth="1"/>
    <col min="4871" max="4871" width="16.1640625" style="28" bestFit="1" customWidth="1"/>
    <col min="4872" max="4872" width="12.1640625" style="28" bestFit="1" customWidth="1"/>
    <col min="4873" max="4873" width="10.6640625" style="28" bestFit="1" customWidth="1"/>
    <col min="4874" max="4874" width="12.83203125" style="28" bestFit="1" customWidth="1"/>
    <col min="4875" max="4875" width="10.6640625" style="28" bestFit="1" customWidth="1"/>
    <col min="4876" max="4876" width="12.83203125" style="28" bestFit="1" customWidth="1"/>
    <col min="4877" max="4877" width="8.83203125" style="28" bestFit="1" customWidth="1"/>
    <col min="4878" max="5118" width="8.83203125" style="28"/>
    <col min="5119" max="5119" width="29.5" style="28" customWidth="1"/>
    <col min="5120" max="5120" width="22.83203125" style="28" customWidth="1"/>
    <col min="5121" max="5121" width="14.33203125" style="28" customWidth="1"/>
    <col min="5122" max="5122" width="21" style="28" customWidth="1"/>
    <col min="5123" max="5123" width="8.33203125" style="28" bestFit="1" customWidth="1"/>
    <col min="5124" max="5124" width="9.33203125" style="28" bestFit="1" customWidth="1"/>
    <col min="5125" max="5125" width="20" style="28" bestFit="1" customWidth="1"/>
    <col min="5126" max="5126" width="13.6640625" style="28" bestFit="1" customWidth="1"/>
    <col min="5127" max="5127" width="16.1640625" style="28" bestFit="1" customWidth="1"/>
    <col min="5128" max="5128" width="12.1640625" style="28" bestFit="1" customWidth="1"/>
    <col min="5129" max="5129" width="10.6640625" style="28" bestFit="1" customWidth="1"/>
    <col min="5130" max="5130" width="12.83203125" style="28" bestFit="1" customWidth="1"/>
    <col min="5131" max="5131" width="10.6640625" style="28" bestFit="1" customWidth="1"/>
    <col min="5132" max="5132" width="12.83203125" style="28" bestFit="1" customWidth="1"/>
    <col min="5133" max="5133" width="8.83203125" style="28" bestFit="1" customWidth="1"/>
    <col min="5134" max="5374" width="8.83203125" style="28"/>
    <col min="5375" max="5375" width="29.5" style="28" customWidth="1"/>
    <col min="5376" max="5376" width="22.83203125" style="28" customWidth="1"/>
    <col min="5377" max="5377" width="14.33203125" style="28" customWidth="1"/>
    <col min="5378" max="5378" width="21" style="28" customWidth="1"/>
    <col min="5379" max="5379" width="8.33203125" style="28" bestFit="1" customWidth="1"/>
    <col min="5380" max="5380" width="9.33203125" style="28" bestFit="1" customWidth="1"/>
    <col min="5381" max="5381" width="20" style="28" bestFit="1" customWidth="1"/>
    <col min="5382" max="5382" width="13.6640625" style="28" bestFit="1" customWidth="1"/>
    <col min="5383" max="5383" width="16.1640625" style="28" bestFit="1" customWidth="1"/>
    <col min="5384" max="5384" width="12.1640625" style="28" bestFit="1" customWidth="1"/>
    <col min="5385" max="5385" width="10.6640625" style="28" bestFit="1" customWidth="1"/>
    <col min="5386" max="5386" width="12.83203125" style="28" bestFit="1" customWidth="1"/>
    <col min="5387" max="5387" width="10.6640625" style="28" bestFit="1" customWidth="1"/>
    <col min="5388" max="5388" width="12.83203125" style="28" bestFit="1" customWidth="1"/>
    <col min="5389" max="5389" width="8.83203125" style="28" bestFit="1" customWidth="1"/>
    <col min="5390" max="5630" width="8.83203125" style="28"/>
    <col min="5631" max="5631" width="29.5" style="28" customWidth="1"/>
    <col min="5632" max="5632" width="22.83203125" style="28" customWidth="1"/>
    <col min="5633" max="5633" width="14.33203125" style="28" customWidth="1"/>
    <col min="5634" max="5634" width="21" style="28" customWidth="1"/>
    <col min="5635" max="5635" width="8.33203125" style="28" bestFit="1" customWidth="1"/>
    <col min="5636" max="5636" width="9.33203125" style="28" bestFit="1" customWidth="1"/>
    <col min="5637" max="5637" width="20" style="28" bestFit="1" customWidth="1"/>
    <col min="5638" max="5638" width="13.6640625" style="28" bestFit="1" customWidth="1"/>
    <col min="5639" max="5639" width="16.1640625" style="28" bestFit="1" customWidth="1"/>
    <col min="5640" max="5640" width="12.1640625" style="28" bestFit="1" customWidth="1"/>
    <col min="5641" max="5641" width="10.6640625" style="28" bestFit="1" customWidth="1"/>
    <col min="5642" max="5642" width="12.83203125" style="28" bestFit="1" customWidth="1"/>
    <col min="5643" max="5643" width="10.6640625" style="28" bestFit="1" customWidth="1"/>
    <col min="5644" max="5644" width="12.83203125" style="28" bestFit="1" customWidth="1"/>
    <col min="5645" max="5645" width="8.83203125" style="28" bestFit="1" customWidth="1"/>
    <col min="5646" max="5886" width="8.83203125" style="28"/>
    <col min="5887" max="5887" width="29.5" style="28" customWidth="1"/>
    <col min="5888" max="5888" width="22.83203125" style="28" customWidth="1"/>
    <col min="5889" max="5889" width="14.33203125" style="28" customWidth="1"/>
    <col min="5890" max="5890" width="21" style="28" customWidth="1"/>
    <col min="5891" max="5891" width="8.33203125" style="28" bestFit="1" customWidth="1"/>
    <col min="5892" max="5892" width="9.33203125" style="28" bestFit="1" customWidth="1"/>
    <col min="5893" max="5893" width="20" style="28" bestFit="1" customWidth="1"/>
    <col min="5894" max="5894" width="13.6640625" style="28" bestFit="1" customWidth="1"/>
    <col min="5895" max="5895" width="16.1640625" style="28" bestFit="1" customWidth="1"/>
    <col min="5896" max="5896" width="12.1640625" style="28" bestFit="1" customWidth="1"/>
    <col min="5897" max="5897" width="10.6640625" style="28" bestFit="1" customWidth="1"/>
    <col min="5898" max="5898" width="12.83203125" style="28" bestFit="1" customWidth="1"/>
    <col min="5899" max="5899" width="10.6640625" style="28" bestFit="1" customWidth="1"/>
    <col min="5900" max="5900" width="12.83203125" style="28" bestFit="1" customWidth="1"/>
    <col min="5901" max="5901" width="8.83203125" style="28" bestFit="1" customWidth="1"/>
    <col min="5902" max="6142" width="8.83203125" style="28"/>
    <col min="6143" max="6143" width="29.5" style="28" customWidth="1"/>
    <col min="6144" max="6144" width="22.83203125" style="28" customWidth="1"/>
    <col min="6145" max="6145" width="14.33203125" style="28" customWidth="1"/>
    <col min="6146" max="6146" width="21" style="28" customWidth="1"/>
    <col min="6147" max="6147" width="8.33203125" style="28" bestFit="1" customWidth="1"/>
    <col min="6148" max="6148" width="9.33203125" style="28" bestFit="1" customWidth="1"/>
    <col min="6149" max="6149" width="20" style="28" bestFit="1" customWidth="1"/>
    <col min="6150" max="6150" width="13.6640625" style="28" bestFit="1" customWidth="1"/>
    <col min="6151" max="6151" width="16.1640625" style="28" bestFit="1" customWidth="1"/>
    <col min="6152" max="6152" width="12.1640625" style="28" bestFit="1" customWidth="1"/>
    <col min="6153" max="6153" width="10.6640625" style="28" bestFit="1" customWidth="1"/>
    <col min="6154" max="6154" width="12.83203125" style="28" bestFit="1" customWidth="1"/>
    <col min="6155" max="6155" width="10.6640625" style="28" bestFit="1" customWidth="1"/>
    <col min="6156" max="6156" width="12.83203125" style="28" bestFit="1" customWidth="1"/>
    <col min="6157" max="6157" width="8.83203125" style="28" bestFit="1" customWidth="1"/>
    <col min="6158" max="6398" width="8.83203125" style="28"/>
    <col min="6399" max="6399" width="29.5" style="28" customWidth="1"/>
    <col min="6400" max="6400" width="22.83203125" style="28" customWidth="1"/>
    <col min="6401" max="6401" width="14.33203125" style="28" customWidth="1"/>
    <col min="6402" max="6402" width="21" style="28" customWidth="1"/>
    <col min="6403" max="6403" width="8.33203125" style="28" bestFit="1" customWidth="1"/>
    <col min="6404" max="6404" width="9.33203125" style="28" bestFit="1" customWidth="1"/>
    <col min="6405" max="6405" width="20" style="28" bestFit="1" customWidth="1"/>
    <col min="6406" max="6406" width="13.6640625" style="28" bestFit="1" customWidth="1"/>
    <col min="6407" max="6407" width="16.1640625" style="28" bestFit="1" customWidth="1"/>
    <col min="6408" max="6408" width="12.1640625" style="28" bestFit="1" customWidth="1"/>
    <col min="6409" max="6409" width="10.6640625" style="28" bestFit="1" customWidth="1"/>
    <col min="6410" max="6410" width="12.83203125" style="28" bestFit="1" customWidth="1"/>
    <col min="6411" max="6411" width="10.6640625" style="28" bestFit="1" customWidth="1"/>
    <col min="6412" max="6412" width="12.83203125" style="28" bestFit="1" customWidth="1"/>
    <col min="6413" max="6413" width="8.83203125" style="28" bestFit="1" customWidth="1"/>
    <col min="6414" max="6654" width="8.83203125" style="28"/>
    <col min="6655" max="6655" width="29.5" style="28" customWidth="1"/>
    <col min="6656" max="6656" width="22.83203125" style="28" customWidth="1"/>
    <col min="6657" max="6657" width="14.33203125" style="28" customWidth="1"/>
    <col min="6658" max="6658" width="21" style="28" customWidth="1"/>
    <col min="6659" max="6659" width="8.33203125" style="28" bestFit="1" customWidth="1"/>
    <col min="6660" max="6660" width="9.33203125" style="28" bestFit="1" customWidth="1"/>
    <col min="6661" max="6661" width="20" style="28" bestFit="1" customWidth="1"/>
    <col min="6662" max="6662" width="13.6640625" style="28" bestFit="1" customWidth="1"/>
    <col min="6663" max="6663" width="16.1640625" style="28" bestFit="1" customWidth="1"/>
    <col min="6664" max="6664" width="12.1640625" style="28" bestFit="1" customWidth="1"/>
    <col min="6665" max="6665" width="10.6640625" style="28" bestFit="1" customWidth="1"/>
    <col min="6666" max="6666" width="12.83203125" style="28" bestFit="1" customWidth="1"/>
    <col min="6667" max="6667" width="10.6640625" style="28" bestFit="1" customWidth="1"/>
    <col min="6668" max="6668" width="12.83203125" style="28" bestFit="1" customWidth="1"/>
    <col min="6669" max="6669" width="8.83203125" style="28" bestFit="1" customWidth="1"/>
    <col min="6670" max="6910" width="8.83203125" style="28"/>
    <col min="6911" max="6911" width="29.5" style="28" customWidth="1"/>
    <col min="6912" max="6912" width="22.83203125" style="28" customWidth="1"/>
    <col min="6913" max="6913" width="14.33203125" style="28" customWidth="1"/>
    <col min="6914" max="6914" width="21" style="28" customWidth="1"/>
    <col min="6915" max="6915" width="8.33203125" style="28" bestFit="1" customWidth="1"/>
    <col min="6916" max="6916" width="9.33203125" style="28" bestFit="1" customWidth="1"/>
    <col min="6917" max="6917" width="20" style="28" bestFit="1" customWidth="1"/>
    <col min="6918" max="6918" width="13.6640625" style="28" bestFit="1" customWidth="1"/>
    <col min="6919" max="6919" width="16.1640625" style="28" bestFit="1" customWidth="1"/>
    <col min="6920" max="6920" width="12.1640625" style="28" bestFit="1" customWidth="1"/>
    <col min="6921" max="6921" width="10.6640625" style="28" bestFit="1" customWidth="1"/>
    <col min="6922" max="6922" width="12.83203125" style="28" bestFit="1" customWidth="1"/>
    <col min="6923" max="6923" width="10.6640625" style="28" bestFit="1" customWidth="1"/>
    <col min="6924" max="6924" width="12.83203125" style="28" bestFit="1" customWidth="1"/>
    <col min="6925" max="6925" width="8.83203125" style="28" bestFit="1" customWidth="1"/>
    <col min="6926" max="7166" width="8.83203125" style="28"/>
    <col min="7167" max="7167" width="29.5" style="28" customWidth="1"/>
    <col min="7168" max="7168" width="22.83203125" style="28" customWidth="1"/>
    <col min="7169" max="7169" width="14.33203125" style="28" customWidth="1"/>
    <col min="7170" max="7170" width="21" style="28" customWidth="1"/>
    <col min="7171" max="7171" width="8.33203125" style="28" bestFit="1" customWidth="1"/>
    <col min="7172" max="7172" width="9.33203125" style="28" bestFit="1" customWidth="1"/>
    <col min="7173" max="7173" width="20" style="28" bestFit="1" customWidth="1"/>
    <col min="7174" max="7174" width="13.6640625" style="28" bestFit="1" customWidth="1"/>
    <col min="7175" max="7175" width="16.1640625" style="28" bestFit="1" customWidth="1"/>
    <col min="7176" max="7176" width="12.1640625" style="28" bestFit="1" customWidth="1"/>
    <col min="7177" max="7177" width="10.6640625" style="28" bestFit="1" customWidth="1"/>
    <col min="7178" max="7178" width="12.83203125" style="28" bestFit="1" customWidth="1"/>
    <col min="7179" max="7179" width="10.6640625" style="28" bestFit="1" customWidth="1"/>
    <col min="7180" max="7180" width="12.83203125" style="28" bestFit="1" customWidth="1"/>
    <col min="7181" max="7181" width="8.83203125" style="28" bestFit="1" customWidth="1"/>
    <col min="7182" max="7422" width="8.83203125" style="28"/>
    <col min="7423" max="7423" width="29.5" style="28" customWidth="1"/>
    <col min="7424" max="7424" width="22.83203125" style="28" customWidth="1"/>
    <col min="7425" max="7425" width="14.33203125" style="28" customWidth="1"/>
    <col min="7426" max="7426" width="21" style="28" customWidth="1"/>
    <col min="7427" max="7427" width="8.33203125" style="28" bestFit="1" customWidth="1"/>
    <col min="7428" max="7428" width="9.33203125" style="28" bestFit="1" customWidth="1"/>
    <col min="7429" max="7429" width="20" style="28" bestFit="1" customWidth="1"/>
    <col min="7430" max="7430" width="13.6640625" style="28" bestFit="1" customWidth="1"/>
    <col min="7431" max="7431" width="16.1640625" style="28" bestFit="1" customWidth="1"/>
    <col min="7432" max="7432" width="12.1640625" style="28" bestFit="1" customWidth="1"/>
    <col min="7433" max="7433" width="10.6640625" style="28" bestFit="1" customWidth="1"/>
    <col min="7434" max="7434" width="12.83203125" style="28" bestFit="1" customWidth="1"/>
    <col min="7435" max="7435" width="10.6640625" style="28" bestFit="1" customWidth="1"/>
    <col min="7436" max="7436" width="12.83203125" style="28" bestFit="1" customWidth="1"/>
    <col min="7437" max="7437" width="8.83203125" style="28" bestFit="1" customWidth="1"/>
    <col min="7438" max="7678" width="8.83203125" style="28"/>
    <col min="7679" max="7679" width="29.5" style="28" customWidth="1"/>
    <col min="7680" max="7680" width="22.83203125" style="28" customWidth="1"/>
    <col min="7681" max="7681" width="14.33203125" style="28" customWidth="1"/>
    <col min="7682" max="7682" width="21" style="28" customWidth="1"/>
    <col min="7683" max="7683" width="8.33203125" style="28" bestFit="1" customWidth="1"/>
    <col min="7684" max="7684" width="9.33203125" style="28" bestFit="1" customWidth="1"/>
    <col min="7685" max="7685" width="20" style="28" bestFit="1" customWidth="1"/>
    <col min="7686" max="7686" width="13.6640625" style="28" bestFit="1" customWidth="1"/>
    <col min="7687" max="7687" width="16.1640625" style="28" bestFit="1" customWidth="1"/>
    <col min="7688" max="7688" width="12.1640625" style="28" bestFit="1" customWidth="1"/>
    <col min="7689" max="7689" width="10.6640625" style="28" bestFit="1" customWidth="1"/>
    <col min="7690" max="7690" width="12.83203125" style="28" bestFit="1" customWidth="1"/>
    <col min="7691" max="7691" width="10.6640625" style="28" bestFit="1" customWidth="1"/>
    <col min="7692" max="7692" width="12.83203125" style="28" bestFit="1" customWidth="1"/>
    <col min="7693" max="7693" width="8.83203125" style="28" bestFit="1" customWidth="1"/>
    <col min="7694" max="7934" width="8.83203125" style="28"/>
    <col min="7935" max="7935" width="29.5" style="28" customWidth="1"/>
    <col min="7936" max="7936" width="22.83203125" style="28" customWidth="1"/>
    <col min="7937" max="7937" width="14.33203125" style="28" customWidth="1"/>
    <col min="7938" max="7938" width="21" style="28" customWidth="1"/>
    <col min="7939" max="7939" width="8.33203125" style="28" bestFit="1" customWidth="1"/>
    <col min="7940" max="7940" width="9.33203125" style="28" bestFit="1" customWidth="1"/>
    <col min="7941" max="7941" width="20" style="28" bestFit="1" customWidth="1"/>
    <col min="7942" max="7942" width="13.6640625" style="28" bestFit="1" customWidth="1"/>
    <col min="7943" max="7943" width="16.1640625" style="28" bestFit="1" customWidth="1"/>
    <col min="7944" max="7944" width="12.1640625" style="28" bestFit="1" customWidth="1"/>
    <col min="7945" max="7945" width="10.6640625" style="28" bestFit="1" customWidth="1"/>
    <col min="7946" max="7946" width="12.83203125" style="28" bestFit="1" customWidth="1"/>
    <col min="7947" max="7947" width="10.6640625" style="28" bestFit="1" customWidth="1"/>
    <col min="7948" max="7948" width="12.83203125" style="28" bestFit="1" customWidth="1"/>
    <col min="7949" max="7949" width="8.83203125" style="28" bestFit="1" customWidth="1"/>
    <col min="7950" max="8190" width="8.83203125" style="28"/>
    <col min="8191" max="8191" width="29.5" style="28" customWidth="1"/>
    <col min="8192" max="8192" width="22.83203125" style="28" customWidth="1"/>
    <col min="8193" max="8193" width="14.33203125" style="28" customWidth="1"/>
    <col min="8194" max="8194" width="21" style="28" customWidth="1"/>
    <col min="8195" max="8195" width="8.33203125" style="28" bestFit="1" customWidth="1"/>
    <col min="8196" max="8196" width="9.33203125" style="28" bestFit="1" customWidth="1"/>
    <col min="8197" max="8197" width="20" style="28" bestFit="1" customWidth="1"/>
    <col min="8198" max="8198" width="13.6640625" style="28" bestFit="1" customWidth="1"/>
    <col min="8199" max="8199" width="16.1640625" style="28" bestFit="1" customWidth="1"/>
    <col min="8200" max="8200" width="12.1640625" style="28" bestFit="1" customWidth="1"/>
    <col min="8201" max="8201" width="10.6640625" style="28" bestFit="1" customWidth="1"/>
    <col min="8202" max="8202" width="12.83203125" style="28" bestFit="1" customWidth="1"/>
    <col min="8203" max="8203" width="10.6640625" style="28" bestFit="1" customWidth="1"/>
    <col min="8204" max="8204" width="12.83203125" style="28" bestFit="1" customWidth="1"/>
    <col min="8205" max="8205" width="8.83203125" style="28" bestFit="1" customWidth="1"/>
    <col min="8206" max="8446" width="8.83203125" style="28"/>
    <col min="8447" max="8447" width="29.5" style="28" customWidth="1"/>
    <col min="8448" max="8448" width="22.83203125" style="28" customWidth="1"/>
    <col min="8449" max="8449" width="14.33203125" style="28" customWidth="1"/>
    <col min="8450" max="8450" width="21" style="28" customWidth="1"/>
    <col min="8451" max="8451" width="8.33203125" style="28" bestFit="1" customWidth="1"/>
    <col min="8452" max="8452" width="9.33203125" style="28" bestFit="1" customWidth="1"/>
    <col min="8453" max="8453" width="20" style="28" bestFit="1" customWidth="1"/>
    <col min="8454" max="8454" width="13.6640625" style="28" bestFit="1" customWidth="1"/>
    <col min="8455" max="8455" width="16.1640625" style="28" bestFit="1" customWidth="1"/>
    <col min="8456" max="8456" width="12.1640625" style="28" bestFit="1" customWidth="1"/>
    <col min="8457" max="8457" width="10.6640625" style="28" bestFit="1" customWidth="1"/>
    <col min="8458" max="8458" width="12.83203125" style="28" bestFit="1" customWidth="1"/>
    <col min="8459" max="8459" width="10.6640625" style="28" bestFit="1" customWidth="1"/>
    <col min="8460" max="8460" width="12.83203125" style="28" bestFit="1" customWidth="1"/>
    <col min="8461" max="8461" width="8.83203125" style="28" bestFit="1" customWidth="1"/>
    <col min="8462" max="8702" width="8.83203125" style="28"/>
    <col min="8703" max="8703" width="29.5" style="28" customWidth="1"/>
    <col min="8704" max="8704" width="22.83203125" style="28" customWidth="1"/>
    <col min="8705" max="8705" width="14.33203125" style="28" customWidth="1"/>
    <col min="8706" max="8706" width="21" style="28" customWidth="1"/>
    <col min="8707" max="8707" width="8.33203125" style="28" bestFit="1" customWidth="1"/>
    <col min="8708" max="8708" width="9.33203125" style="28" bestFit="1" customWidth="1"/>
    <col min="8709" max="8709" width="20" style="28" bestFit="1" customWidth="1"/>
    <col min="8710" max="8710" width="13.6640625" style="28" bestFit="1" customWidth="1"/>
    <col min="8711" max="8711" width="16.1640625" style="28" bestFit="1" customWidth="1"/>
    <col min="8712" max="8712" width="12.1640625" style="28" bestFit="1" customWidth="1"/>
    <col min="8713" max="8713" width="10.6640625" style="28" bestFit="1" customWidth="1"/>
    <col min="8714" max="8714" width="12.83203125" style="28" bestFit="1" customWidth="1"/>
    <col min="8715" max="8715" width="10.6640625" style="28" bestFit="1" customWidth="1"/>
    <col min="8716" max="8716" width="12.83203125" style="28" bestFit="1" customWidth="1"/>
    <col min="8717" max="8717" width="8.83203125" style="28" bestFit="1" customWidth="1"/>
    <col min="8718" max="8958" width="8.83203125" style="28"/>
    <col min="8959" max="8959" width="29.5" style="28" customWidth="1"/>
    <col min="8960" max="8960" width="22.83203125" style="28" customWidth="1"/>
    <col min="8961" max="8961" width="14.33203125" style="28" customWidth="1"/>
    <col min="8962" max="8962" width="21" style="28" customWidth="1"/>
    <col min="8963" max="8963" width="8.33203125" style="28" bestFit="1" customWidth="1"/>
    <col min="8964" max="8964" width="9.33203125" style="28" bestFit="1" customWidth="1"/>
    <col min="8965" max="8965" width="20" style="28" bestFit="1" customWidth="1"/>
    <col min="8966" max="8966" width="13.6640625" style="28" bestFit="1" customWidth="1"/>
    <col min="8967" max="8967" width="16.1640625" style="28" bestFit="1" customWidth="1"/>
    <col min="8968" max="8968" width="12.1640625" style="28" bestFit="1" customWidth="1"/>
    <col min="8969" max="8969" width="10.6640625" style="28" bestFit="1" customWidth="1"/>
    <col min="8970" max="8970" width="12.83203125" style="28" bestFit="1" customWidth="1"/>
    <col min="8971" max="8971" width="10.6640625" style="28" bestFit="1" customWidth="1"/>
    <col min="8972" max="8972" width="12.83203125" style="28" bestFit="1" customWidth="1"/>
    <col min="8973" max="8973" width="8.83203125" style="28" bestFit="1" customWidth="1"/>
    <col min="8974" max="9214" width="8.83203125" style="28"/>
    <col min="9215" max="9215" width="29.5" style="28" customWidth="1"/>
    <col min="9216" max="9216" width="22.83203125" style="28" customWidth="1"/>
    <col min="9217" max="9217" width="14.33203125" style="28" customWidth="1"/>
    <col min="9218" max="9218" width="21" style="28" customWidth="1"/>
    <col min="9219" max="9219" width="8.33203125" style="28" bestFit="1" customWidth="1"/>
    <col min="9220" max="9220" width="9.33203125" style="28" bestFit="1" customWidth="1"/>
    <col min="9221" max="9221" width="20" style="28" bestFit="1" customWidth="1"/>
    <col min="9222" max="9222" width="13.6640625" style="28" bestFit="1" customWidth="1"/>
    <col min="9223" max="9223" width="16.1640625" style="28" bestFit="1" customWidth="1"/>
    <col min="9224" max="9224" width="12.1640625" style="28" bestFit="1" customWidth="1"/>
    <col min="9225" max="9225" width="10.6640625" style="28" bestFit="1" customWidth="1"/>
    <col min="9226" max="9226" width="12.83203125" style="28" bestFit="1" customWidth="1"/>
    <col min="9227" max="9227" width="10.6640625" style="28" bestFit="1" customWidth="1"/>
    <col min="9228" max="9228" width="12.83203125" style="28" bestFit="1" customWidth="1"/>
    <col min="9229" max="9229" width="8.83203125" style="28" bestFit="1" customWidth="1"/>
    <col min="9230" max="9470" width="8.83203125" style="28"/>
    <col min="9471" max="9471" width="29.5" style="28" customWidth="1"/>
    <col min="9472" max="9472" width="22.83203125" style="28" customWidth="1"/>
    <col min="9473" max="9473" width="14.33203125" style="28" customWidth="1"/>
    <col min="9474" max="9474" width="21" style="28" customWidth="1"/>
    <col min="9475" max="9475" width="8.33203125" style="28" bestFit="1" customWidth="1"/>
    <col min="9476" max="9476" width="9.33203125" style="28" bestFit="1" customWidth="1"/>
    <col min="9477" max="9477" width="20" style="28" bestFit="1" customWidth="1"/>
    <col min="9478" max="9478" width="13.6640625" style="28" bestFit="1" customWidth="1"/>
    <col min="9479" max="9479" width="16.1640625" style="28" bestFit="1" customWidth="1"/>
    <col min="9480" max="9480" width="12.1640625" style="28" bestFit="1" customWidth="1"/>
    <col min="9481" max="9481" width="10.6640625" style="28" bestFit="1" customWidth="1"/>
    <col min="9482" max="9482" width="12.83203125" style="28" bestFit="1" customWidth="1"/>
    <col min="9483" max="9483" width="10.6640625" style="28" bestFit="1" customWidth="1"/>
    <col min="9484" max="9484" width="12.83203125" style="28" bestFit="1" customWidth="1"/>
    <col min="9485" max="9485" width="8.83203125" style="28" bestFit="1" customWidth="1"/>
    <col min="9486" max="9726" width="8.83203125" style="28"/>
    <col min="9727" max="9727" width="29.5" style="28" customWidth="1"/>
    <col min="9728" max="9728" width="22.83203125" style="28" customWidth="1"/>
    <col min="9729" max="9729" width="14.33203125" style="28" customWidth="1"/>
    <col min="9730" max="9730" width="21" style="28" customWidth="1"/>
    <col min="9731" max="9731" width="8.33203125" style="28" bestFit="1" customWidth="1"/>
    <col min="9732" max="9732" width="9.33203125" style="28" bestFit="1" customWidth="1"/>
    <col min="9733" max="9733" width="20" style="28" bestFit="1" customWidth="1"/>
    <col min="9734" max="9734" width="13.6640625" style="28" bestFit="1" customWidth="1"/>
    <col min="9735" max="9735" width="16.1640625" style="28" bestFit="1" customWidth="1"/>
    <col min="9736" max="9736" width="12.1640625" style="28" bestFit="1" customWidth="1"/>
    <col min="9737" max="9737" width="10.6640625" style="28" bestFit="1" customWidth="1"/>
    <col min="9738" max="9738" width="12.83203125" style="28" bestFit="1" customWidth="1"/>
    <col min="9739" max="9739" width="10.6640625" style="28" bestFit="1" customWidth="1"/>
    <col min="9740" max="9740" width="12.83203125" style="28" bestFit="1" customWidth="1"/>
    <col min="9741" max="9741" width="8.83203125" style="28" bestFit="1" customWidth="1"/>
    <col min="9742" max="9982" width="8.83203125" style="28"/>
    <col min="9983" max="9983" width="29.5" style="28" customWidth="1"/>
    <col min="9984" max="9984" width="22.83203125" style="28" customWidth="1"/>
    <col min="9985" max="9985" width="14.33203125" style="28" customWidth="1"/>
    <col min="9986" max="9986" width="21" style="28" customWidth="1"/>
    <col min="9987" max="9987" width="8.33203125" style="28" bestFit="1" customWidth="1"/>
    <col min="9988" max="9988" width="9.33203125" style="28" bestFit="1" customWidth="1"/>
    <col min="9989" max="9989" width="20" style="28" bestFit="1" customWidth="1"/>
    <col min="9990" max="9990" width="13.6640625" style="28" bestFit="1" customWidth="1"/>
    <col min="9991" max="9991" width="16.1640625" style="28" bestFit="1" customWidth="1"/>
    <col min="9992" max="9992" width="12.1640625" style="28" bestFit="1" customWidth="1"/>
    <col min="9993" max="9993" width="10.6640625" style="28" bestFit="1" customWidth="1"/>
    <col min="9994" max="9994" width="12.83203125" style="28" bestFit="1" customWidth="1"/>
    <col min="9995" max="9995" width="10.6640625" style="28" bestFit="1" customWidth="1"/>
    <col min="9996" max="9996" width="12.83203125" style="28" bestFit="1" customWidth="1"/>
    <col min="9997" max="9997" width="8.83203125" style="28" bestFit="1" customWidth="1"/>
    <col min="9998" max="10238" width="8.83203125" style="28"/>
    <col min="10239" max="10239" width="29.5" style="28" customWidth="1"/>
    <col min="10240" max="10240" width="22.83203125" style="28" customWidth="1"/>
    <col min="10241" max="10241" width="14.33203125" style="28" customWidth="1"/>
    <col min="10242" max="10242" width="21" style="28" customWidth="1"/>
    <col min="10243" max="10243" width="8.33203125" style="28" bestFit="1" customWidth="1"/>
    <col min="10244" max="10244" width="9.33203125" style="28" bestFit="1" customWidth="1"/>
    <col min="10245" max="10245" width="20" style="28" bestFit="1" customWidth="1"/>
    <col min="10246" max="10246" width="13.6640625" style="28" bestFit="1" customWidth="1"/>
    <col min="10247" max="10247" width="16.1640625" style="28" bestFit="1" customWidth="1"/>
    <col min="10248" max="10248" width="12.1640625" style="28" bestFit="1" customWidth="1"/>
    <col min="10249" max="10249" width="10.6640625" style="28" bestFit="1" customWidth="1"/>
    <col min="10250" max="10250" width="12.83203125" style="28" bestFit="1" customWidth="1"/>
    <col min="10251" max="10251" width="10.6640625" style="28" bestFit="1" customWidth="1"/>
    <col min="10252" max="10252" width="12.83203125" style="28" bestFit="1" customWidth="1"/>
    <col min="10253" max="10253" width="8.83203125" style="28" bestFit="1" customWidth="1"/>
    <col min="10254" max="10494" width="8.83203125" style="28"/>
    <col min="10495" max="10495" width="29.5" style="28" customWidth="1"/>
    <col min="10496" max="10496" width="22.83203125" style="28" customWidth="1"/>
    <col min="10497" max="10497" width="14.33203125" style="28" customWidth="1"/>
    <col min="10498" max="10498" width="21" style="28" customWidth="1"/>
    <col min="10499" max="10499" width="8.33203125" style="28" bestFit="1" customWidth="1"/>
    <col min="10500" max="10500" width="9.33203125" style="28" bestFit="1" customWidth="1"/>
    <col min="10501" max="10501" width="20" style="28" bestFit="1" customWidth="1"/>
    <col min="10502" max="10502" width="13.6640625" style="28" bestFit="1" customWidth="1"/>
    <col min="10503" max="10503" width="16.1640625" style="28" bestFit="1" customWidth="1"/>
    <col min="10504" max="10504" width="12.1640625" style="28" bestFit="1" customWidth="1"/>
    <col min="10505" max="10505" width="10.6640625" style="28" bestFit="1" customWidth="1"/>
    <col min="10506" max="10506" width="12.83203125" style="28" bestFit="1" customWidth="1"/>
    <col min="10507" max="10507" width="10.6640625" style="28" bestFit="1" customWidth="1"/>
    <col min="10508" max="10508" width="12.83203125" style="28" bestFit="1" customWidth="1"/>
    <col min="10509" max="10509" width="8.83203125" style="28" bestFit="1" customWidth="1"/>
    <col min="10510" max="10750" width="8.83203125" style="28"/>
    <col min="10751" max="10751" width="29.5" style="28" customWidth="1"/>
    <col min="10752" max="10752" width="22.83203125" style="28" customWidth="1"/>
    <col min="10753" max="10753" width="14.33203125" style="28" customWidth="1"/>
    <col min="10754" max="10754" width="21" style="28" customWidth="1"/>
    <col min="10755" max="10755" width="8.33203125" style="28" bestFit="1" customWidth="1"/>
    <col min="10756" max="10756" width="9.33203125" style="28" bestFit="1" customWidth="1"/>
    <col min="10757" max="10757" width="20" style="28" bestFit="1" customWidth="1"/>
    <col min="10758" max="10758" width="13.6640625" style="28" bestFit="1" customWidth="1"/>
    <col min="10759" max="10759" width="16.1640625" style="28" bestFit="1" customWidth="1"/>
    <col min="10760" max="10760" width="12.1640625" style="28" bestFit="1" customWidth="1"/>
    <col min="10761" max="10761" width="10.6640625" style="28" bestFit="1" customWidth="1"/>
    <col min="10762" max="10762" width="12.83203125" style="28" bestFit="1" customWidth="1"/>
    <col min="10763" max="10763" width="10.6640625" style="28" bestFit="1" customWidth="1"/>
    <col min="10764" max="10764" width="12.83203125" style="28" bestFit="1" customWidth="1"/>
    <col min="10765" max="10765" width="8.83203125" style="28" bestFit="1" customWidth="1"/>
    <col min="10766" max="11006" width="8.83203125" style="28"/>
    <col min="11007" max="11007" width="29.5" style="28" customWidth="1"/>
    <col min="11008" max="11008" width="22.83203125" style="28" customWidth="1"/>
    <col min="11009" max="11009" width="14.33203125" style="28" customWidth="1"/>
    <col min="11010" max="11010" width="21" style="28" customWidth="1"/>
    <col min="11011" max="11011" width="8.33203125" style="28" bestFit="1" customWidth="1"/>
    <col min="11012" max="11012" width="9.33203125" style="28" bestFit="1" customWidth="1"/>
    <col min="11013" max="11013" width="20" style="28" bestFit="1" customWidth="1"/>
    <col min="11014" max="11014" width="13.6640625" style="28" bestFit="1" customWidth="1"/>
    <col min="11015" max="11015" width="16.1640625" style="28" bestFit="1" customWidth="1"/>
    <col min="11016" max="11016" width="12.1640625" style="28" bestFit="1" customWidth="1"/>
    <col min="11017" max="11017" width="10.6640625" style="28" bestFit="1" customWidth="1"/>
    <col min="11018" max="11018" width="12.83203125" style="28" bestFit="1" customWidth="1"/>
    <col min="11019" max="11019" width="10.6640625" style="28" bestFit="1" customWidth="1"/>
    <col min="11020" max="11020" width="12.83203125" style="28" bestFit="1" customWidth="1"/>
    <col min="11021" max="11021" width="8.83203125" style="28" bestFit="1" customWidth="1"/>
    <col min="11022" max="11262" width="8.83203125" style="28"/>
    <col min="11263" max="11263" width="29.5" style="28" customWidth="1"/>
    <col min="11264" max="11264" width="22.83203125" style="28" customWidth="1"/>
    <col min="11265" max="11265" width="14.33203125" style="28" customWidth="1"/>
    <col min="11266" max="11266" width="21" style="28" customWidth="1"/>
    <col min="11267" max="11267" width="8.33203125" style="28" bestFit="1" customWidth="1"/>
    <col min="11268" max="11268" width="9.33203125" style="28" bestFit="1" customWidth="1"/>
    <col min="11269" max="11269" width="20" style="28" bestFit="1" customWidth="1"/>
    <col min="11270" max="11270" width="13.6640625" style="28" bestFit="1" customWidth="1"/>
    <col min="11271" max="11271" width="16.1640625" style="28" bestFit="1" customWidth="1"/>
    <col min="11272" max="11272" width="12.1640625" style="28" bestFit="1" customWidth="1"/>
    <col min="11273" max="11273" width="10.6640625" style="28" bestFit="1" customWidth="1"/>
    <col min="11274" max="11274" width="12.83203125" style="28" bestFit="1" customWidth="1"/>
    <col min="11275" max="11275" width="10.6640625" style="28" bestFit="1" customWidth="1"/>
    <col min="11276" max="11276" width="12.83203125" style="28" bestFit="1" customWidth="1"/>
    <col min="11277" max="11277" width="8.83203125" style="28" bestFit="1" customWidth="1"/>
    <col min="11278" max="11518" width="8.83203125" style="28"/>
    <col min="11519" max="11519" width="29.5" style="28" customWidth="1"/>
    <col min="11520" max="11520" width="22.83203125" style="28" customWidth="1"/>
    <col min="11521" max="11521" width="14.33203125" style="28" customWidth="1"/>
    <col min="11522" max="11522" width="21" style="28" customWidth="1"/>
    <col min="11523" max="11523" width="8.33203125" style="28" bestFit="1" customWidth="1"/>
    <col min="11524" max="11524" width="9.33203125" style="28" bestFit="1" customWidth="1"/>
    <col min="11525" max="11525" width="20" style="28" bestFit="1" customWidth="1"/>
    <col min="11526" max="11526" width="13.6640625" style="28" bestFit="1" customWidth="1"/>
    <col min="11527" max="11527" width="16.1640625" style="28" bestFit="1" customWidth="1"/>
    <col min="11528" max="11528" width="12.1640625" style="28" bestFit="1" customWidth="1"/>
    <col min="11529" max="11529" width="10.6640625" style="28" bestFit="1" customWidth="1"/>
    <col min="11530" max="11530" width="12.83203125" style="28" bestFit="1" customWidth="1"/>
    <col min="11531" max="11531" width="10.6640625" style="28" bestFit="1" customWidth="1"/>
    <col min="11532" max="11532" width="12.83203125" style="28" bestFit="1" customWidth="1"/>
    <col min="11533" max="11533" width="8.83203125" style="28" bestFit="1" customWidth="1"/>
    <col min="11534" max="11774" width="8.83203125" style="28"/>
    <col min="11775" max="11775" width="29.5" style="28" customWidth="1"/>
    <col min="11776" max="11776" width="22.83203125" style="28" customWidth="1"/>
    <col min="11777" max="11777" width="14.33203125" style="28" customWidth="1"/>
    <col min="11778" max="11778" width="21" style="28" customWidth="1"/>
    <col min="11779" max="11779" width="8.33203125" style="28" bestFit="1" customWidth="1"/>
    <col min="11780" max="11780" width="9.33203125" style="28" bestFit="1" customWidth="1"/>
    <col min="11781" max="11781" width="20" style="28" bestFit="1" customWidth="1"/>
    <col min="11782" max="11782" width="13.6640625" style="28" bestFit="1" customWidth="1"/>
    <col min="11783" max="11783" width="16.1640625" style="28" bestFit="1" customWidth="1"/>
    <col min="11784" max="11784" width="12.1640625" style="28" bestFit="1" customWidth="1"/>
    <col min="11785" max="11785" width="10.6640625" style="28" bestFit="1" customWidth="1"/>
    <col min="11786" max="11786" width="12.83203125" style="28" bestFit="1" customWidth="1"/>
    <col min="11787" max="11787" width="10.6640625" style="28" bestFit="1" customWidth="1"/>
    <col min="11788" max="11788" width="12.83203125" style="28" bestFit="1" customWidth="1"/>
    <col min="11789" max="11789" width="8.83203125" style="28" bestFit="1" customWidth="1"/>
    <col min="11790" max="12030" width="8.83203125" style="28"/>
    <col min="12031" max="12031" width="29.5" style="28" customWidth="1"/>
    <col min="12032" max="12032" width="22.83203125" style="28" customWidth="1"/>
    <col min="12033" max="12033" width="14.33203125" style="28" customWidth="1"/>
    <col min="12034" max="12034" width="21" style="28" customWidth="1"/>
    <col min="12035" max="12035" width="8.33203125" style="28" bestFit="1" customWidth="1"/>
    <col min="12036" max="12036" width="9.33203125" style="28" bestFit="1" customWidth="1"/>
    <col min="12037" max="12037" width="20" style="28" bestFit="1" customWidth="1"/>
    <col min="12038" max="12038" width="13.6640625" style="28" bestFit="1" customWidth="1"/>
    <col min="12039" max="12039" width="16.1640625" style="28" bestFit="1" customWidth="1"/>
    <col min="12040" max="12040" width="12.1640625" style="28" bestFit="1" customWidth="1"/>
    <col min="12041" max="12041" width="10.6640625" style="28" bestFit="1" customWidth="1"/>
    <col min="12042" max="12042" width="12.83203125" style="28" bestFit="1" customWidth="1"/>
    <col min="12043" max="12043" width="10.6640625" style="28" bestFit="1" customWidth="1"/>
    <col min="12044" max="12044" width="12.83203125" style="28" bestFit="1" customWidth="1"/>
    <col min="12045" max="12045" width="8.83203125" style="28" bestFit="1" customWidth="1"/>
    <col min="12046" max="12286" width="8.83203125" style="28"/>
    <col min="12287" max="12287" width="29.5" style="28" customWidth="1"/>
    <col min="12288" max="12288" width="22.83203125" style="28" customWidth="1"/>
    <col min="12289" max="12289" width="14.33203125" style="28" customWidth="1"/>
    <col min="12290" max="12290" width="21" style="28" customWidth="1"/>
    <col min="12291" max="12291" width="8.33203125" style="28" bestFit="1" customWidth="1"/>
    <col min="12292" max="12292" width="9.33203125" style="28" bestFit="1" customWidth="1"/>
    <col min="12293" max="12293" width="20" style="28" bestFit="1" customWidth="1"/>
    <col min="12294" max="12294" width="13.6640625" style="28" bestFit="1" customWidth="1"/>
    <col min="12295" max="12295" width="16.1640625" style="28" bestFit="1" customWidth="1"/>
    <col min="12296" max="12296" width="12.1640625" style="28" bestFit="1" customWidth="1"/>
    <col min="12297" max="12297" width="10.6640625" style="28" bestFit="1" customWidth="1"/>
    <col min="12298" max="12298" width="12.83203125" style="28" bestFit="1" customWidth="1"/>
    <col min="12299" max="12299" width="10.6640625" style="28" bestFit="1" customWidth="1"/>
    <col min="12300" max="12300" width="12.83203125" style="28" bestFit="1" customWidth="1"/>
    <col min="12301" max="12301" width="8.83203125" style="28" bestFit="1" customWidth="1"/>
    <col min="12302" max="12542" width="8.83203125" style="28"/>
    <col min="12543" max="12543" width="29.5" style="28" customWidth="1"/>
    <col min="12544" max="12544" width="22.83203125" style="28" customWidth="1"/>
    <col min="12545" max="12545" width="14.33203125" style="28" customWidth="1"/>
    <col min="12546" max="12546" width="21" style="28" customWidth="1"/>
    <col min="12547" max="12547" width="8.33203125" style="28" bestFit="1" customWidth="1"/>
    <col min="12548" max="12548" width="9.33203125" style="28" bestFit="1" customWidth="1"/>
    <col min="12549" max="12549" width="20" style="28" bestFit="1" customWidth="1"/>
    <col min="12550" max="12550" width="13.6640625" style="28" bestFit="1" customWidth="1"/>
    <col min="12551" max="12551" width="16.1640625" style="28" bestFit="1" customWidth="1"/>
    <col min="12552" max="12552" width="12.1640625" style="28" bestFit="1" customWidth="1"/>
    <col min="12553" max="12553" width="10.6640625" style="28" bestFit="1" customWidth="1"/>
    <col min="12554" max="12554" width="12.83203125" style="28" bestFit="1" customWidth="1"/>
    <col min="12555" max="12555" width="10.6640625" style="28" bestFit="1" customWidth="1"/>
    <col min="12556" max="12556" width="12.83203125" style="28" bestFit="1" customWidth="1"/>
    <col min="12557" max="12557" width="8.83203125" style="28" bestFit="1" customWidth="1"/>
    <col min="12558" max="12798" width="8.83203125" style="28"/>
    <col min="12799" max="12799" width="29.5" style="28" customWidth="1"/>
    <col min="12800" max="12800" width="22.83203125" style="28" customWidth="1"/>
    <col min="12801" max="12801" width="14.33203125" style="28" customWidth="1"/>
    <col min="12802" max="12802" width="21" style="28" customWidth="1"/>
    <col min="12803" max="12803" width="8.33203125" style="28" bestFit="1" customWidth="1"/>
    <col min="12804" max="12804" width="9.33203125" style="28" bestFit="1" customWidth="1"/>
    <col min="12805" max="12805" width="20" style="28" bestFit="1" customWidth="1"/>
    <col min="12806" max="12806" width="13.6640625" style="28" bestFit="1" customWidth="1"/>
    <col min="12807" max="12807" width="16.1640625" style="28" bestFit="1" customWidth="1"/>
    <col min="12808" max="12808" width="12.1640625" style="28" bestFit="1" customWidth="1"/>
    <col min="12809" max="12809" width="10.6640625" style="28" bestFit="1" customWidth="1"/>
    <col min="12810" max="12810" width="12.83203125" style="28" bestFit="1" customWidth="1"/>
    <col min="12811" max="12811" width="10.6640625" style="28" bestFit="1" customWidth="1"/>
    <col min="12812" max="12812" width="12.83203125" style="28" bestFit="1" customWidth="1"/>
    <col min="12813" max="12813" width="8.83203125" style="28" bestFit="1" customWidth="1"/>
    <col min="12814" max="13054" width="8.83203125" style="28"/>
    <col min="13055" max="13055" width="29.5" style="28" customWidth="1"/>
    <col min="13056" max="13056" width="22.83203125" style="28" customWidth="1"/>
    <col min="13057" max="13057" width="14.33203125" style="28" customWidth="1"/>
    <col min="13058" max="13058" width="21" style="28" customWidth="1"/>
    <col min="13059" max="13059" width="8.33203125" style="28" bestFit="1" customWidth="1"/>
    <col min="13060" max="13060" width="9.33203125" style="28" bestFit="1" customWidth="1"/>
    <col min="13061" max="13061" width="20" style="28" bestFit="1" customWidth="1"/>
    <col min="13062" max="13062" width="13.6640625" style="28" bestFit="1" customWidth="1"/>
    <col min="13063" max="13063" width="16.1640625" style="28" bestFit="1" customWidth="1"/>
    <col min="13064" max="13064" width="12.1640625" style="28" bestFit="1" customWidth="1"/>
    <col min="13065" max="13065" width="10.6640625" style="28" bestFit="1" customWidth="1"/>
    <col min="13066" max="13066" width="12.83203125" style="28" bestFit="1" customWidth="1"/>
    <col min="13067" max="13067" width="10.6640625" style="28" bestFit="1" customWidth="1"/>
    <col min="13068" max="13068" width="12.83203125" style="28" bestFit="1" customWidth="1"/>
    <col min="13069" max="13069" width="8.83203125" style="28" bestFit="1" customWidth="1"/>
    <col min="13070" max="13310" width="8.83203125" style="28"/>
    <col min="13311" max="13311" width="29.5" style="28" customWidth="1"/>
    <col min="13312" max="13312" width="22.83203125" style="28" customWidth="1"/>
    <col min="13313" max="13313" width="14.33203125" style="28" customWidth="1"/>
    <col min="13314" max="13314" width="21" style="28" customWidth="1"/>
    <col min="13315" max="13315" width="8.33203125" style="28" bestFit="1" customWidth="1"/>
    <col min="13316" max="13316" width="9.33203125" style="28" bestFit="1" customWidth="1"/>
    <col min="13317" max="13317" width="20" style="28" bestFit="1" customWidth="1"/>
    <col min="13318" max="13318" width="13.6640625" style="28" bestFit="1" customWidth="1"/>
    <col min="13319" max="13319" width="16.1640625" style="28" bestFit="1" customWidth="1"/>
    <col min="13320" max="13320" width="12.1640625" style="28" bestFit="1" customWidth="1"/>
    <col min="13321" max="13321" width="10.6640625" style="28" bestFit="1" customWidth="1"/>
    <col min="13322" max="13322" width="12.83203125" style="28" bestFit="1" customWidth="1"/>
    <col min="13323" max="13323" width="10.6640625" style="28" bestFit="1" customWidth="1"/>
    <col min="13324" max="13324" width="12.83203125" style="28" bestFit="1" customWidth="1"/>
    <col min="13325" max="13325" width="8.83203125" style="28" bestFit="1" customWidth="1"/>
    <col min="13326" max="13566" width="8.83203125" style="28"/>
    <col min="13567" max="13567" width="29.5" style="28" customWidth="1"/>
    <col min="13568" max="13568" width="22.83203125" style="28" customWidth="1"/>
    <col min="13569" max="13569" width="14.33203125" style="28" customWidth="1"/>
    <col min="13570" max="13570" width="21" style="28" customWidth="1"/>
    <col min="13571" max="13571" width="8.33203125" style="28" bestFit="1" customWidth="1"/>
    <col min="13572" max="13572" width="9.33203125" style="28" bestFit="1" customWidth="1"/>
    <col min="13573" max="13573" width="20" style="28" bestFit="1" customWidth="1"/>
    <col min="13574" max="13574" width="13.6640625" style="28" bestFit="1" customWidth="1"/>
    <col min="13575" max="13575" width="16.1640625" style="28" bestFit="1" customWidth="1"/>
    <col min="13576" max="13576" width="12.1640625" style="28" bestFit="1" customWidth="1"/>
    <col min="13577" max="13577" width="10.6640625" style="28" bestFit="1" customWidth="1"/>
    <col min="13578" max="13578" width="12.83203125" style="28" bestFit="1" customWidth="1"/>
    <col min="13579" max="13579" width="10.6640625" style="28" bestFit="1" customWidth="1"/>
    <col min="13580" max="13580" width="12.83203125" style="28" bestFit="1" customWidth="1"/>
    <col min="13581" max="13581" width="8.83203125" style="28" bestFit="1" customWidth="1"/>
    <col min="13582" max="13822" width="8.83203125" style="28"/>
    <col min="13823" max="13823" width="29.5" style="28" customWidth="1"/>
    <col min="13824" max="13824" width="22.83203125" style="28" customWidth="1"/>
    <col min="13825" max="13825" width="14.33203125" style="28" customWidth="1"/>
    <col min="13826" max="13826" width="21" style="28" customWidth="1"/>
    <col min="13827" max="13827" width="8.33203125" style="28" bestFit="1" customWidth="1"/>
    <col min="13828" max="13828" width="9.33203125" style="28" bestFit="1" customWidth="1"/>
    <col min="13829" max="13829" width="20" style="28" bestFit="1" customWidth="1"/>
    <col min="13830" max="13830" width="13.6640625" style="28" bestFit="1" customWidth="1"/>
    <col min="13831" max="13831" width="16.1640625" style="28" bestFit="1" customWidth="1"/>
    <col min="13832" max="13832" width="12.1640625" style="28" bestFit="1" customWidth="1"/>
    <col min="13833" max="13833" width="10.6640625" style="28" bestFit="1" customWidth="1"/>
    <col min="13834" max="13834" width="12.83203125" style="28" bestFit="1" customWidth="1"/>
    <col min="13835" max="13835" width="10.6640625" style="28" bestFit="1" customWidth="1"/>
    <col min="13836" max="13836" width="12.83203125" style="28" bestFit="1" customWidth="1"/>
    <col min="13837" max="13837" width="8.83203125" style="28" bestFit="1" customWidth="1"/>
    <col min="13838" max="14078" width="8.83203125" style="28"/>
    <col min="14079" max="14079" width="29.5" style="28" customWidth="1"/>
    <col min="14080" max="14080" width="22.83203125" style="28" customWidth="1"/>
    <col min="14081" max="14081" width="14.33203125" style="28" customWidth="1"/>
    <col min="14082" max="14082" width="21" style="28" customWidth="1"/>
    <col min="14083" max="14083" width="8.33203125" style="28" bestFit="1" customWidth="1"/>
    <col min="14084" max="14084" width="9.33203125" style="28" bestFit="1" customWidth="1"/>
    <col min="14085" max="14085" width="20" style="28" bestFit="1" customWidth="1"/>
    <col min="14086" max="14086" width="13.6640625" style="28" bestFit="1" customWidth="1"/>
    <col min="14087" max="14087" width="16.1640625" style="28" bestFit="1" customWidth="1"/>
    <col min="14088" max="14088" width="12.1640625" style="28" bestFit="1" customWidth="1"/>
    <col min="14089" max="14089" width="10.6640625" style="28" bestFit="1" customWidth="1"/>
    <col min="14090" max="14090" width="12.83203125" style="28" bestFit="1" customWidth="1"/>
    <col min="14091" max="14091" width="10.6640625" style="28" bestFit="1" customWidth="1"/>
    <col min="14092" max="14092" width="12.83203125" style="28" bestFit="1" customWidth="1"/>
    <col min="14093" max="14093" width="8.83203125" style="28" bestFit="1" customWidth="1"/>
    <col min="14094" max="14334" width="8.83203125" style="28"/>
    <col min="14335" max="14335" width="29.5" style="28" customWidth="1"/>
    <col min="14336" max="14336" width="22.83203125" style="28" customWidth="1"/>
    <col min="14337" max="14337" width="14.33203125" style="28" customWidth="1"/>
    <col min="14338" max="14338" width="21" style="28" customWidth="1"/>
    <col min="14339" max="14339" width="8.33203125" style="28" bestFit="1" customWidth="1"/>
    <col min="14340" max="14340" width="9.33203125" style="28" bestFit="1" customWidth="1"/>
    <col min="14341" max="14341" width="20" style="28" bestFit="1" customWidth="1"/>
    <col min="14342" max="14342" width="13.6640625" style="28" bestFit="1" customWidth="1"/>
    <col min="14343" max="14343" width="16.1640625" style="28" bestFit="1" customWidth="1"/>
    <col min="14344" max="14344" width="12.1640625" style="28" bestFit="1" customWidth="1"/>
    <col min="14345" max="14345" width="10.6640625" style="28" bestFit="1" customWidth="1"/>
    <col min="14346" max="14346" width="12.83203125" style="28" bestFit="1" customWidth="1"/>
    <col min="14347" max="14347" width="10.6640625" style="28" bestFit="1" customWidth="1"/>
    <col min="14348" max="14348" width="12.83203125" style="28" bestFit="1" customWidth="1"/>
    <col min="14349" max="14349" width="8.83203125" style="28" bestFit="1" customWidth="1"/>
    <col min="14350" max="14590" width="8.83203125" style="28"/>
    <col min="14591" max="14591" width="29.5" style="28" customWidth="1"/>
    <col min="14592" max="14592" width="22.83203125" style="28" customWidth="1"/>
    <col min="14593" max="14593" width="14.33203125" style="28" customWidth="1"/>
    <col min="14594" max="14594" width="21" style="28" customWidth="1"/>
    <col min="14595" max="14595" width="8.33203125" style="28" bestFit="1" customWidth="1"/>
    <col min="14596" max="14596" width="9.33203125" style="28" bestFit="1" customWidth="1"/>
    <col min="14597" max="14597" width="20" style="28" bestFit="1" customWidth="1"/>
    <col min="14598" max="14598" width="13.6640625" style="28" bestFit="1" customWidth="1"/>
    <col min="14599" max="14599" width="16.1640625" style="28" bestFit="1" customWidth="1"/>
    <col min="14600" max="14600" width="12.1640625" style="28" bestFit="1" customWidth="1"/>
    <col min="14601" max="14601" width="10.6640625" style="28" bestFit="1" customWidth="1"/>
    <col min="14602" max="14602" width="12.83203125" style="28" bestFit="1" customWidth="1"/>
    <col min="14603" max="14603" width="10.6640625" style="28" bestFit="1" customWidth="1"/>
    <col min="14604" max="14604" width="12.83203125" style="28" bestFit="1" customWidth="1"/>
    <col min="14605" max="14605" width="8.83203125" style="28" bestFit="1" customWidth="1"/>
    <col min="14606" max="14846" width="8.83203125" style="28"/>
    <col min="14847" max="14847" width="29.5" style="28" customWidth="1"/>
    <col min="14848" max="14848" width="22.83203125" style="28" customWidth="1"/>
    <col min="14849" max="14849" width="14.33203125" style="28" customWidth="1"/>
    <col min="14850" max="14850" width="21" style="28" customWidth="1"/>
    <col min="14851" max="14851" width="8.33203125" style="28" bestFit="1" customWidth="1"/>
    <col min="14852" max="14852" width="9.33203125" style="28" bestFit="1" customWidth="1"/>
    <col min="14853" max="14853" width="20" style="28" bestFit="1" customWidth="1"/>
    <col min="14854" max="14854" width="13.6640625" style="28" bestFit="1" customWidth="1"/>
    <col min="14855" max="14855" width="16.1640625" style="28" bestFit="1" customWidth="1"/>
    <col min="14856" max="14856" width="12.1640625" style="28" bestFit="1" customWidth="1"/>
    <col min="14857" max="14857" width="10.6640625" style="28" bestFit="1" customWidth="1"/>
    <col min="14858" max="14858" width="12.83203125" style="28" bestFit="1" customWidth="1"/>
    <col min="14859" max="14859" width="10.6640625" style="28" bestFit="1" customWidth="1"/>
    <col min="14860" max="14860" width="12.83203125" style="28" bestFit="1" customWidth="1"/>
    <col min="14861" max="14861" width="8.83203125" style="28" bestFit="1" customWidth="1"/>
    <col min="14862" max="15102" width="8.83203125" style="28"/>
    <col min="15103" max="15103" width="29.5" style="28" customWidth="1"/>
    <col min="15104" max="15104" width="22.83203125" style="28" customWidth="1"/>
    <col min="15105" max="15105" width="14.33203125" style="28" customWidth="1"/>
    <col min="15106" max="15106" width="21" style="28" customWidth="1"/>
    <col min="15107" max="15107" width="8.33203125" style="28" bestFit="1" customWidth="1"/>
    <col min="15108" max="15108" width="9.33203125" style="28" bestFit="1" customWidth="1"/>
    <col min="15109" max="15109" width="20" style="28" bestFit="1" customWidth="1"/>
    <col min="15110" max="15110" width="13.6640625" style="28" bestFit="1" customWidth="1"/>
    <col min="15111" max="15111" width="16.1640625" style="28" bestFit="1" customWidth="1"/>
    <col min="15112" max="15112" width="12.1640625" style="28" bestFit="1" customWidth="1"/>
    <col min="15113" max="15113" width="10.6640625" style="28" bestFit="1" customWidth="1"/>
    <col min="15114" max="15114" width="12.83203125" style="28" bestFit="1" customWidth="1"/>
    <col min="15115" max="15115" width="10.6640625" style="28" bestFit="1" customWidth="1"/>
    <col min="15116" max="15116" width="12.83203125" style="28" bestFit="1" customWidth="1"/>
    <col min="15117" max="15117" width="8.83203125" style="28" bestFit="1" customWidth="1"/>
    <col min="15118" max="15358" width="8.83203125" style="28"/>
    <col min="15359" max="15359" width="29.5" style="28" customWidth="1"/>
    <col min="15360" max="15360" width="22.83203125" style="28" customWidth="1"/>
    <col min="15361" max="15361" width="14.33203125" style="28" customWidth="1"/>
    <col min="15362" max="15362" width="21" style="28" customWidth="1"/>
    <col min="15363" max="15363" width="8.33203125" style="28" bestFit="1" customWidth="1"/>
    <col min="15364" max="15364" width="9.33203125" style="28" bestFit="1" customWidth="1"/>
    <col min="15365" max="15365" width="20" style="28" bestFit="1" customWidth="1"/>
    <col min="15366" max="15366" width="13.6640625" style="28" bestFit="1" customWidth="1"/>
    <col min="15367" max="15367" width="16.1640625" style="28" bestFit="1" customWidth="1"/>
    <col min="15368" max="15368" width="12.1640625" style="28" bestFit="1" customWidth="1"/>
    <col min="15369" max="15369" width="10.6640625" style="28" bestFit="1" customWidth="1"/>
    <col min="15370" max="15370" width="12.83203125" style="28" bestFit="1" customWidth="1"/>
    <col min="15371" max="15371" width="10.6640625" style="28" bestFit="1" customWidth="1"/>
    <col min="15372" max="15372" width="12.83203125" style="28" bestFit="1" customWidth="1"/>
    <col min="15373" max="15373" width="8.83203125" style="28" bestFit="1" customWidth="1"/>
    <col min="15374" max="15614" width="8.83203125" style="28"/>
    <col min="15615" max="15615" width="29.5" style="28" customWidth="1"/>
    <col min="15616" max="15616" width="22.83203125" style="28" customWidth="1"/>
    <col min="15617" max="15617" width="14.33203125" style="28" customWidth="1"/>
    <col min="15618" max="15618" width="21" style="28" customWidth="1"/>
    <col min="15619" max="15619" width="8.33203125" style="28" bestFit="1" customWidth="1"/>
    <col min="15620" max="15620" width="9.33203125" style="28" bestFit="1" customWidth="1"/>
    <col min="15621" max="15621" width="20" style="28" bestFit="1" customWidth="1"/>
    <col min="15622" max="15622" width="13.6640625" style="28" bestFit="1" customWidth="1"/>
    <col min="15623" max="15623" width="16.1640625" style="28" bestFit="1" customWidth="1"/>
    <col min="15624" max="15624" width="12.1640625" style="28" bestFit="1" customWidth="1"/>
    <col min="15625" max="15625" width="10.6640625" style="28" bestFit="1" customWidth="1"/>
    <col min="15626" max="15626" width="12.83203125" style="28" bestFit="1" customWidth="1"/>
    <col min="15627" max="15627" width="10.6640625" style="28" bestFit="1" customWidth="1"/>
    <col min="15628" max="15628" width="12.83203125" style="28" bestFit="1" customWidth="1"/>
    <col min="15629" max="15629" width="8.83203125" style="28" bestFit="1" customWidth="1"/>
    <col min="15630" max="15870" width="8.83203125" style="28"/>
    <col min="15871" max="15871" width="29.5" style="28" customWidth="1"/>
    <col min="15872" max="15872" width="22.83203125" style="28" customWidth="1"/>
    <col min="15873" max="15873" width="14.33203125" style="28" customWidth="1"/>
    <col min="15874" max="15874" width="21" style="28" customWidth="1"/>
    <col min="15875" max="15875" width="8.33203125" style="28" bestFit="1" customWidth="1"/>
    <col min="15876" max="15876" width="9.33203125" style="28" bestFit="1" customWidth="1"/>
    <col min="15877" max="15877" width="20" style="28" bestFit="1" customWidth="1"/>
    <col min="15878" max="15878" width="13.6640625" style="28" bestFit="1" customWidth="1"/>
    <col min="15879" max="15879" width="16.1640625" style="28" bestFit="1" customWidth="1"/>
    <col min="15880" max="15880" width="12.1640625" style="28" bestFit="1" customWidth="1"/>
    <col min="15881" max="15881" width="10.6640625" style="28" bestFit="1" customWidth="1"/>
    <col min="15882" max="15882" width="12.83203125" style="28" bestFit="1" customWidth="1"/>
    <col min="15883" max="15883" width="10.6640625" style="28" bestFit="1" customWidth="1"/>
    <col min="15884" max="15884" width="12.83203125" style="28" bestFit="1" customWidth="1"/>
    <col min="15885" max="15885" width="8.83203125" style="28" bestFit="1" customWidth="1"/>
    <col min="15886" max="16126" width="8.83203125" style="28"/>
    <col min="16127" max="16127" width="29.5" style="28" customWidth="1"/>
    <col min="16128" max="16128" width="22.83203125" style="28" customWidth="1"/>
    <col min="16129" max="16129" width="14.33203125" style="28" customWidth="1"/>
    <col min="16130" max="16130" width="21" style="28" customWidth="1"/>
    <col min="16131" max="16131" width="8.33203125" style="28" bestFit="1" customWidth="1"/>
    <col min="16132" max="16132" width="9.33203125" style="28" bestFit="1" customWidth="1"/>
    <col min="16133" max="16133" width="20" style="28" bestFit="1" customWidth="1"/>
    <col min="16134" max="16134" width="13.6640625" style="28" bestFit="1" customWidth="1"/>
    <col min="16135" max="16135" width="16.1640625" style="28" bestFit="1" customWidth="1"/>
    <col min="16136" max="16136" width="12.1640625" style="28" bestFit="1" customWidth="1"/>
    <col min="16137" max="16137" width="10.6640625" style="28" bestFit="1" customWidth="1"/>
    <col min="16138" max="16138" width="12.83203125" style="28" bestFit="1" customWidth="1"/>
    <col min="16139" max="16139" width="10.6640625" style="28" bestFit="1" customWidth="1"/>
    <col min="16140" max="16140" width="12.83203125" style="28" bestFit="1" customWidth="1"/>
    <col min="16141" max="16141" width="8.83203125" style="28" bestFit="1" customWidth="1"/>
    <col min="16142" max="16384" width="8.83203125" style="28"/>
  </cols>
  <sheetData>
    <row r="1" spans="1:21" x14ac:dyDescent="0.25">
      <c r="A1" s="43"/>
      <c r="B1" s="43"/>
      <c r="C1" s="43"/>
      <c r="D1" s="43"/>
      <c r="E1" s="43"/>
      <c r="F1" s="43"/>
      <c r="G1" s="43"/>
      <c r="H1" s="43"/>
      <c r="I1" s="43"/>
      <c r="J1" s="43"/>
      <c r="K1" s="43"/>
      <c r="L1" s="43"/>
      <c r="M1" s="43"/>
      <c r="N1" s="43"/>
      <c r="O1" s="63"/>
      <c r="P1" s="62"/>
      <c r="Q1" s="61"/>
      <c r="R1" s="61"/>
      <c r="S1" s="60"/>
      <c r="T1" s="59"/>
      <c r="U1" s="58"/>
    </row>
    <row r="2" spans="1:21" x14ac:dyDescent="0.25">
      <c r="A2" s="43"/>
      <c r="B2" s="43"/>
      <c r="C2" s="43"/>
      <c r="D2" s="43"/>
      <c r="E2" s="43"/>
      <c r="F2" s="43"/>
      <c r="G2" s="43"/>
      <c r="H2" s="43"/>
      <c r="I2" s="43"/>
      <c r="J2" s="43"/>
      <c r="K2" s="43"/>
      <c r="L2" s="43"/>
      <c r="M2" s="43"/>
      <c r="N2" s="43"/>
      <c r="O2" s="63"/>
      <c r="P2" s="62"/>
      <c r="Q2" s="61"/>
      <c r="R2" s="61"/>
      <c r="S2" s="60"/>
      <c r="T2" s="59"/>
      <c r="U2" s="58"/>
    </row>
    <row r="3" spans="1:21" ht="31" x14ac:dyDescent="0.35">
      <c r="A3" s="71" t="s">
        <v>98</v>
      </c>
      <c r="B3" s="43"/>
      <c r="C3" s="43"/>
      <c r="D3" s="64"/>
      <c r="E3" s="43"/>
      <c r="F3" s="43"/>
      <c r="G3" s="43"/>
      <c r="H3" s="43"/>
      <c r="I3" s="43"/>
      <c r="J3" s="43"/>
      <c r="K3" s="43"/>
      <c r="L3" s="43"/>
      <c r="M3" s="43"/>
      <c r="N3" s="43"/>
      <c r="O3" s="63"/>
      <c r="P3" s="62"/>
      <c r="Q3" s="61"/>
      <c r="R3" s="61"/>
      <c r="S3" s="60"/>
      <c r="T3" s="59"/>
      <c r="U3" s="58"/>
    </row>
    <row r="4" spans="1:21" x14ac:dyDescent="0.25">
      <c r="A4" s="252" t="s">
        <v>29</v>
      </c>
    </row>
    <row r="5" spans="1:21" ht="60.75" customHeight="1" x14ac:dyDescent="0.25">
      <c r="A5" s="52" t="s">
        <v>69</v>
      </c>
      <c r="B5" s="51" t="s">
        <v>68</v>
      </c>
      <c r="C5" s="50" t="s">
        <v>67</v>
      </c>
      <c r="D5" s="50" t="s">
        <v>66</v>
      </c>
      <c r="E5" s="50" t="s">
        <v>65</v>
      </c>
      <c r="F5" s="50" t="s">
        <v>64</v>
      </c>
      <c r="G5" s="50" t="s">
        <v>62</v>
      </c>
      <c r="H5" s="49" t="s">
        <v>61</v>
      </c>
      <c r="M5" s="31"/>
      <c r="N5" s="31"/>
      <c r="O5" s="32"/>
      <c r="P5" s="32"/>
      <c r="Q5" s="32"/>
      <c r="R5" s="32"/>
      <c r="S5" s="32"/>
      <c r="T5" s="32"/>
      <c r="U5" s="32"/>
    </row>
    <row r="6" spans="1:21" x14ac:dyDescent="0.25">
      <c r="A6" s="48" t="s">
        <v>76</v>
      </c>
      <c r="B6" s="47" t="s">
        <v>59</v>
      </c>
      <c r="C6" s="46">
        <v>6</v>
      </c>
      <c r="D6" s="46">
        <v>23</v>
      </c>
      <c r="E6" s="46">
        <v>6</v>
      </c>
      <c r="F6" s="46">
        <v>0</v>
      </c>
      <c r="G6" s="45">
        <f>D6/C6</f>
        <v>3.8333333333333335</v>
      </c>
      <c r="H6" s="45" t="s">
        <v>58</v>
      </c>
      <c r="M6" s="31"/>
      <c r="N6" s="31"/>
      <c r="O6" s="32"/>
      <c r="P6" s="32"/>
      <c r="Q6" s="32"/>
      <c r="R6" s="32"/>
      <c r="S6" s="32"/>
      <c r="T6" s="32"/>
      <c r="U6" s="32"/>
    </row>
    <row r="7" spans="1:21" ht="41.25" customHeight="1" x14ac:dyDescent="0.25">
      <c r="A7" s="44" t="s">
        <v>57</v>
      </c>
      <c r="B7" s="517" t="s">
        <v>56</v>
      </c>
      <c r="C7" s="518"/>
      <c r="D7" s="518"/>
      <c r="E7" s="518"/>
      <c r="F7" s="519"/>
      <c r="G7" s="520" t="s">
        <v>55</v>
      </c>
      <c r="H7" s="521"/>
      <c r="I7" s="521"/>
      <c r="J7" s="522"/>
      <c r="M7" s="31"/>
      <c r="N7" s="31"/>
      <c r="O7" s="32"/>
      <c r="P7" s="32"/>
      <c r="Q7" s="32"/>
      <c r="R7" s="32"/>
      <c r="S7" s="32"/>
      <c r="T7" s="32"/>
      <c r="U7" s="32"/>
    </row>
    <row r="8" spans="1:21" ht="21.75" customHeight="1" x14ac:dyDescent="0.25">
      <c r="A8" s="42"/>
      <c r="B8" s="523"/>
      <c r="C8" s="518"/>
      <c r="D8" s="518"/>
      <c r="E8" s="518"/>
      <c r="F8" s="519"/>
      <c r="G8" s="524" t="s">
        <v>54</v>
      </c>
      <c r="H8" s="526"/>
      <c r="I8" s="524" t="s">
        <v>53</v>
      </c>
      <c r="J8" s="525"/>
      <c r="K8" s="43"/>
      <c r="M8" s="30"/>
      <c r="N8" s="30"/>
      <c r="O8" s="32"/>
      <c r="P8" s="32"/>
      <c r="Q8" s="32"/>
      <c r="R8" s="32"/>
      <c r="S8" s="32"/>
      <c r="T8" s="39"/>
      <c r="U8" s="32"/>
    </row>
    <row r="9" spans="1:21" ht="87.75" customHeight="1" x14ac:dyDescent="0.25">
      <c r="A9" s="42" t="s">
        <v>52</v>
      </c>
      <c r="B9" s="50" t="s">
        <v>51</v>
      </c>
      <c r="C9" s="50" t="s">
        <v>50</v>
      </c>
      <c r="D9" s="50" t="s">
        <v>49</v>
      </c>
      <c r="E9" s="50" t="s">
        <v>48</v>
      </c>
      <c r="F9" s="50" t="s">
        <v>47</v>
      </c>
      <c r="G9" s="70" t="s">
        <v>46</v>
      </c>
      <c r="H9" s="70" t="s">
        <v>45</v>
      </c>
      <c r="I9" s="70" t="s">
        <v>46</v>
      </c>
      <c r="J9" s="50" t="s">
        <v>45</v>
      </c>
      <c r="K9" s="43"/>
      <c r="L9" s="43"/>
      <c r="M9" s="43"/>
      <c r="R9" s="32"/>
      <c r="S9" s="39"/>
      <c r="T9" s="32"/>
    </row>
    <row r="10" spans="1:21" ht="27.75" customHeight="1" x14ac:dyDescent="0.25">
      <c r="A10" s="255" t="s">
        <v>97</v>
      </c>
      <c r="B10" s="69">
        <v>0.5</v>
      </c>
      <c r="C10" s="69">
        <v>0.35</v>
      </c>
      <c r="D10" s="69">
        <v>0.4</v>
      </c>
      <c r="E10" s="54">
        <v>15</v>
      </c>
      <c r="F10" s="37">
        <v>0.3</v>
      </c>
      <c r="G10" s="37" t="s">
        <v>96</v>
      </c>
      <c r="H10" s="37" t="s">
        <v>95</v>
      </c>
      <c r="I10" s="38">
        <v>28</v>
      </c>
      <c r="J10" s="45">
        <v>0.9</v>
      </c>
      <c r="K10" s="43"/>
      <c r="L10" s="43"/>
      <c r="M10" s="43"/>
      <c r="R10" s="32"/>
      <c r="S10" s="32"/>
      <c r="T10" s="32"/>
    </row>
    <row r="11" spans="1:21" x14ac:dyDescent="0.25">
      <c r="A11" s="43"/>
      <c r="B11" s="43"/>
      <c r="C11" s="43"/>
      <c r="D11" s="64"/>
      <c r="E11" s="43"/>
      <c r="F11" s="43"/>
      <c r="G11" s="43"/>
      <c r="H11" s="43"/>
      <c r="I11" s="43"/>
      <c r="J11" s="43"/>
      <c r="K11" s="43"/>
      <c r="L11" s="43"/>
      <c r="M11" s="43"/>
      <c r="R11" s="32"/>
      <c r="S11" s="32"/>
      <c r="T11" s="32"/>
    </row>
    <row r="12" spans="1:21" ht="27" customHeight="1" x14ac:dyDescent="0.25">
      <c r="A12" s="43"/>
      <c r="B12" s="43"/>
      <c r="G12" s="68"/>
      <c r="H12" s="68"/>
      <c r="I12" s="43"/>
      <c r="J12" s="43"/>
      <c r="K12" s="43"/>
      <c r="L12" s="43"/>
      <c r="M12" s="43"/>
      <c r="R12" s="32"/>
      <c r="S12" s="32"/>
      <c r="T12" s="32"/>
    </row>
    <row r="13" spans="1:21" ht="69.75" customHeight="1" x14ac:dyDescent="0.25">
      <c r="A13" s="43"/>
      <c r="B13" s="43"/>
      <c r="G13" s="67"/>
      <c r="H13" s="67"/>
      <c r="I13" s="43"/>
      <c r="J13" s="43"/>
      <c r="K13" s="43"/>
      <c r="L13" s="43"/>
      <c r="M13" s="43"/>
      <c r="R13" s="36"/>
      <c r="S13" s="36"/>
      <c r="T13" s="36"/>
    </row>
    <row r="14" spans="1:21" x14ac:dyDescent="0.25">
      <c r="A14" s="43"/>
      <c r="B14" s="43"/>
      <c r="G14" s="66"/>
      <c r="H14" s="66"/>
      <c r="I14" s="43"/>
      <c r="J14" s="43"/>
      <c r="K14" s="43"/>
      <c r="L14" s="43"/>
      <c r="M14" s="43"/>
      <c r="R14" s="32"/>
      <c r="S14" s="32"/>
      <c r="T14" s="32"/>
    </row>
    <row r="15" spans="1:21" x14ac:dyDescent="0.25">
      <c r="A15" s="65"/>
      <c r="B15" s="65"/>
      <c r="G15" s="66"/>
      <c r="H15" s="66"/>
      <c r="I15" s="65"/>
      <c r="J15" s="65"/>
      <c r="K15" s="65"/>
      <c r="L15" s="65"/>
      <c r="M15" s="65"/>
      <c r="N15" s="65"/>
    </row>
    <row r="16" spans="1:21" x14ac:dyDescent="0.25">
      <c r="A16" s="43"/>
      <c r="B16" s="43"/>
      <c r="C16" s="43"/>
      <c r="D16" s="64"/>
      <c r="E16" s="43"/>
      <c r="F16" s="43"/>
      <c r="G16" s="43"/>
      <c r="H16" s="43"/>
      <c r="I16" s="43"/>
      <c r="J16" s="43"/>
      <c r="K16" s="43"/>
      <c r="L16" s="43"/>
      <c r="M16" s="43"/>
      <c r="N16" s="43"/>
      <c r="O16" s="63"/>
      <c r="P16" s="62"/>
      <c r="Q16" s="61"/>
      <c r="R16" s="61"/>
      <c r="S16" s="60"/>
      <c r="T16" s="59"/>
      <c r="U16" s="58"/>
    </row>
    <row r="17" spans="1:21" x14ac:dyDescent="0.25">
      <c r="A17" s="253" t="s">
        <v>30</v>
      </c>
      <c r="B17" s="43"/>
      <c r="C17" s="43"/>
      <c r="D17" s="64"/>
      <c r="E17" s="43"/>
      <c r="F17" s="43"/>
      <c r="G17" s="43"/>
      <c r="H17" s="43"/>
      <c r="I17" s="43"/>
      <c r="J17" s="43"/>
      <c r="K17" s="43"/>
      <c r="L17" s="43"/>
      <c r="M17" s="43"/>
      <c r="N17" s="43"/>
      <c r="O17" s="63"/>
      <c r="P17" s="62"/>
      <c r="Q17" s="61"/>
      <c r="R17" s="61"/>
      <c r="S17" s="60"/>
      <c r="T17" s="59"/>
      <c r="U17" s="58"/>
    </row>
    <row r="18" spans="1:21" ht="63" x14ac:dyDescent="0.25">
      <c r="A18" s="52" t="s">
        <v>69</v>
      </c>
      <c r="B18" s="51" t="s">
        <v>68</v>
      </c>
      <c r="C18" s="50" t="s">
        <v>67</v>
      </c>
      <c r="D18" s="50" t="s">
        <v>66</v>
      </c>
      <c r="E18" s="50" t="s">
        <v>65</v>
      </c>
      <c r="F18" s="50" t="s">
        <v>64</v>
      </c>
      <c r="G18" s="50" t="s">
        <v>62</v>
      </c>
      <c r="H18" s="49" t="s">
        <v>61</v>
      </c>
      <c r="M18" s="31"/>
      <c r="N18" s="43"/>
      <c r="O18" s="63"/>
      <c r="P18" s="62"/>
      <c r="Q18" s="61"/>
      <c r="R18" s="61"/>
      <c r="S18" s="60"/>
      <c r="T18" s="59"/>
      <c r="U18" s="58"/>
    </row>
    <row r="19" spans="1:21" x14ac:dyDescent="0.25">
      <c r="A19" s="48" t="s">
        <v>76</v>
      </c>
      <c r="B19" s="47" t="s">
        <v>59</v>
      </c>
      <c r="C19" s="46">
        <v>7</v>
      </c>
      <c r="D19" s="46">
        <v>23</v>
      </c>
      <c r="E19" s="46">
        <v>6</v>
      </c>
      <c r="F19" s="46">
        <v>0</v>
      </c>
      <c r="G19" s="45">
        <f>D19/C19</f>
        <v>3.2857142857142856</v>
      </c>
      <c r="H19" s="45" t="s">
        <v>58</v>
      </c>
      <c r="M19" s="31"/>
      <c r="N19" s="43"/>
      <c r="O19" s="63"/>
      <c r="P19" s="62"/>
      <c r="Q19" s="61"/>
      <c r="R19" s="61"/>
      <c r="S19" s="60"/>
      <c r="T19" s="59"/>
      <c r="U19" s="58"/>
    </row>
    <row r="20" spans="1:21" ht="42" x14ac:dyDescent="0.25">
      <c r="A20" s="44" t="s">
        <v>57</v>
      </c>
      <c r="B20" s="517" t="s">
        <v>56</v>
      </c>
      <c r="C20" s="518"/>
      <c r="D20" s="518"/>
      <c r="E20" s="518"/>
      <c r="F20" s="519"/>
      <c r="G20" s="520" t="s">
        <v>55</v>
      </c>
      <c r="H20" s="521"/>
      <c r="I20" s="521"/>
      <c r="J20" s="522"/>
      <c r="M20" s="31"/>
      <c r="N20" s="43"/>
      <c r="O20" s="63"/>
      <c r="P20" s="62"/>
      <c r="Q20" s="61"/>
      <c r="R20" s="61"/>
      <c r="S20" s="60"/>
      <c r="T20" s="59"/>
      <c r="U20" s="58"/>
    </row>
    <row r="21" spans="1:21" ht="21" customHeight="1" x14ac:dyDescent="0.25">
      <c r="A21" s="42"/>
      <c r="B21" s="523"/>
      <c r="C21" s="518"/>
      <c r="D21" s="518"/>
      <c r="E21" s="518"/>
      <c r="F21" s="519"/>
      <c r="G21" s="524" t="s">
        <v>54</v>
      </c>
      <c r="H21" s="526"/>
      <c r="I21" s="524" t="s">
        <v>53</v>
      </c>
      <c r="J21" s="525"/>
      <c r="K21" s="43"/>
      <c r="M21" s="30"/>
      <c r="N21" s="43"/>
      <c r="O21" s="63"/>
      <c r="P21" s="62"/>
      <c r="Q21" s="61"/>
      <c r="R21" s="61"/>
      <c r="S21" s="60"/>
      <c r="T21" s="59"/>
      <c r="U21" s="58"/>
    </row>
    <row r="22" spans="1:21" ht="89" x14ac:dyDescent="0.35">
      <c r="A22" s="42" t="s">
        <v>52</v>
      </c>
      <c r="B22" s="40" t="s">
        <v>51</v>
      </c>
      <c r="C22" s="40" t="s">
        <v>50</v>
      </c>
      <c r="D22" s="40" t="s">
        <v>49</v>
      </c>
      <c r="E22" s="40" t="s">
        <v>48</v>
      </c>
      <c r="F22" s="40" t="s">
        <v>47</v>
      </c>
      <c r="G22" s="41" t="s">
        <v>46</v>
      </c>
      <c r="H22" s="41" t="s">
        <v>45</v>
      </c>
      <c r="I22" s="41" t="s">
        <v>46</v>
      </c>
      <c r="J22" s="40" t="s">
        <v>45</v>
      </c>
      <c r="K22" s="43"/>
      <c r="M22" s="30"/>
      <c r="N22" s="43"/>
      <c r="O22" s="63"/>
      <c r="P22" s="62"/>
      <c r="Q22" s="61"/>
      <c r="R22" s="61"/>
      <c r="S22" s="60"/>
      <c r="T22" s="59"/>
      <c r="U22" s="58"/>
    </row>
    <row r="23" spans="1:21" ht="28.5" customHeight="1" x14ac:dyDescent="0.25">
      <c r="A23" s="255" t="s">
        <v>94</v>
      </c>
      <c r="B23" s="37">
        <v>0.75</v>
      </c>
      <c r="C23" s="37">
        <v>0.4</v>
      </c>
      <c r="D23" s="37">
        <v>0.6</v>
      </c>
      <c r="E23" s="54">
        <v>15</v>
      </c>
      <c r="F23" s="37">
        <v>0.3</v>
      </c>
      <c r="G23" s="37" t="s">
        <v>93</v>
      </c>
      <c r="H23" s="37" t="s">
        <v>92</v>
      </c>
      <c r="I23" s="38">
        <v>23</v>
      </c>
      <c r="J23" s="45">
        <v>1.1000000000000001</v>
      </c>
      <c r="K23" s="43"/>
      <c r="M23" s="30"/>
      <c r="N23" s="43"/>
      <c r="O23" s="63"/>
      <c r="P23" s="62"/>
      <c r="Q23" s="61"/>
      <c r="R23" s="61"/>
      <c r="S23" s="60"/>
      <c r="T23" s="59"/>
      <c r="U23" s="58"/>
    </row>
    <row r="24" spans="1:21" x14ac:dyDescent="0.25">
      <c r="A24" s="43"/>
      <c r="B24" s="43"/>
      <c r="C24" s="43"/>
      <c r="D24" s="64"/>
      <c r="E24" s="43"/>
      <c r="F24" s="43"/>
      <c r="G24" s="43"/>
      <c r="H24" s="43"/>
      <c r="I24" s="43"/>
      <c r="J24" s="43"/>
      <c r="K24" s="43"/>
      <c r="L24" s="43"/>
      <c r="M24" s="43"/>
      <c r="N24" s="43"/>
      <c r="O24" s="63"/>
      <c r="P24" s="62"/>
      <c r="Q24" s="61"/>
      <c r="R24" s="61"/>
      <c r="S24" s="60"/>
      <c r="T24" s="59"/>
      <c r="U24" s="58"/>
    </row>
    <row r="25" spans="1:21" x14ac:dyDescent="0.25">
      <c r="A25" s="43"/>
      <c r="B25" s="43"/>
      <c r="C25" s="43"/>
      <c r="D25" s="64"/>
      <c r="E25" s="43"/>
      <c r="F25" s="43"/>
      <c r="G25" s="43"/>
      <c r="H25" s="43"/>
      <c r="I25" s="43"/>
      <c r="J25" s="43"/>
      <c r="K25" s="43"/>
      <c r="L25" s="43"/>
      <c r="M25" s="43"/>
      <c r="N25" s="43"/>
      <c r="O25" s="63"/>
      <c r="P25" s="62"/>
      <c r="Q25" s="61"/>
      <c r="R25" s="61"/>
      <c r="S25" s="60"/>
      <c r="T25" s="59"/>
      <c r="U25" s="58"/>
    </row>
    <row r="26" spans="1:21" x14ac:dyDescent="0.25">
      <c r="A26" s="43"/>
      <c r="B26" s="43"/>
      <c r="C26" s="43"/>
      <c r="D26" s="64"/>
      <c r="E26" s="43"/>
      <c r="F26" s="43"/>
      <c r="G26" s="43"/>
      <c r="H26" s="43"/>
      <c r="I26" s="43"/>
      <c r="J26" s="43"/>
      <c r="K26" s="43"/>
      <c r="L26" s="43"/>
      <c r="M26" s="43"/>
      <c r="N26" s="43"/>
      <c r="O26" s="63"/>
      <c r="P26" s="62"/>
      <c r="Q26" s="61"/>
      <c r="R26" s="61"/>
      <c r="S26" s="60"/>
      <c r="T26" s="59"/>
      <c r="U26" s="58"/>
    </row>
    <row r="27" spans="1:21" x14ac:dyDescent="0.25">
      <c r="A27" s="43"/>
      <c r="B27" s="43"/>
      <c r="C27" s="43"/>
      <c r="D27" s="64"/>
      <c r="E27" s="43"/>
      <c r="F27" s="43"/>
      <c r="G27" s="43"/>
      <c r="H27" s="43"/>
      <c r="I27" s="43"/>
      <c r="J27" s="43"/>
      <c r="K27" s="43"/>
      <c r="L27" s="43"/>
      <c r="M27" s="43"/>
      <c r="N27" s="43"/>
      <c r="O27" s="63"/>
      <c r="P27" s="62"/>
      <c r="Q27" s="61"/>
      <c r="R27" s="61"/>
      <c r="S27" s="60"/>
      <c r="T27" s="59"/>
      <c r="U27" s="58"/>
    </row>
    <row r="28" spans="1:21" x14ac:dyDescent="0.25">
      <c r="A28" s="43"/>
      <c r="B28" s="43"/>
      <c r="C28" s="43"/>
      <c r="D28" s="64"/>
      <c r="E28" s="43"/>
      <c r="F28" s="43"/>
      <c r="G28" s="43"/>
      <c r="H28" s="43"/>
      <c r="I28" s="43"/>
      <c r="J28" s="43"/>
      <c r="K28" s="43"/>
      <c r="L28" s="43"/>
      <c r="M28" s="43"/>
      <c r="N28" s="43"/>
      <c r="O28" s="63"/>
      <c r="P28" s="62"/>
      <c r="Q28" s="61"/>
      <c r="R28" s="61"/>
      <c r="S28" s="60"/>
      <c r="T28" s="59"/>
      <c r="U28" s="58"/>
    </row>
    <row r="29" spans="1:21" x14ac:dyDescent="0.25">
      <c r="A29" s="43"/>
      <c r="B29" s="43"/>
      <c r="C29" s="43"/>
      <c r="E29" s="43"/>
      <c r="F29" s="43"/>
      <c r="G29" s="43"/>
      <c r="H29" s="43"/>
      <c r="I29" s="43"/>
      <c r="J29" s="43"/>
      <c r="K29" s="43"/>
      <c r="L29" s="43"/>
      <c r="M29" s="43"/>
      <c r="N29" s="43"/>
      <c r="O29" s="63"/>
      <c r="P29" s="62"/>
      <c r="Q29" s="61"/>
      <c r="R29" s="61"/>
      <c r="S29" s="60"/>
      <c r="T29" s="59"/>
      <c r="U29" s="58"/>
    </row>
    <row r="30" spans="1:21" x14ac:dyDescent="0.25">
      <c r="A30" s="254" t="s">
        <v>31</v>
      </c>
      <c r="B30" s="58"/>
      <c r="C30" s="58"/>
      <c r="D30" s="58"/>
      <c r="E30" s="58"/>
      <c r="F30" s="58"/>
      <c r="G30" s="58"/>
      <c r="H30" s="58"/>
      <c r="I30" s="58"/>
      <c r="J30" s="43"/>
      <c r="K30" s="43"/>
      <c r="L30" s="43"/>
      <c r="M30" s="58"/>
      <c r="N30" s="58"/>
      <c r="O30" s="58"/>
      <c r="P30" s="58"/>
      <c r="Q30" s="58"/>
      <c r="R30" s="58"/>
      <c r="S30" s="58"/>
      <c r="T30" s="58"/>
      <c r="U30" s="58"/>
    </row>
    <row r="31" spans="1:21" ht="60.75" customHeight="1" x14ac:dyDescent="0.25">
      <c r="A31" s="52" t="s">
        <v>69</v>
      </c>
      <c r="B31" s="51" t="s">
        <v>68</v>
      </c>
      <c r="C31" s="50" t="s">
        <v>67</v>
      </c>
      <c r="D31" s="50" t="s">
        <v>66</v>
      </c>
      <c r="E31" s="50" t="s">
        <v>65</v>
      </c>
      <c r="F31" s="50" t="s">
        <v>64</v>
      </c>
      <c r="G31" s="50" t="s">
        <v>63</v>
      </c>
      <c r="H31" s="50" t="s">
        <v>62</v>
      </c>
      <c r="I31" s="49" t="s">
        <v>61</v>
      </c>
      <c r="M31" s="31"/>
      <c r="N31" s="31"/>
      <c r="O31" s="32"/>
      <c r="P31" s="32"/>
      <c r="Q31" s="32"/>
      <c r="R31" s="32"/>
      <c r="S31" s="32"/>
      <c r="T31" s="32"/>
      <c r="U31" s="32"/>
    </row>
    <row r="32" spans="1:21" x14ac:dyDescent="0.25">
      <c r="A32" s="48" t="s">
        <v>76</v>
      </c>
      <c r="B32" s="47" t="s">
        <v>59</v>
      </c>
      <c r="C32" s="46">
        <v>7</v>
      </c>
      <c r="D32" s="46">
        <v>24</v>
      </c>
      <c r="E32" s="46">
        <v>6</v>
      </c>
      <c r="F32" s="46">
        <v>0.14000000000000001</v>
      </c>
      <c r="G32" s="57" t="s">
        <v>83</v>
      </c>
      <c r="H32" s="45" t="s">
        <v>39</v>
      </c>
      <c r="I32" s="45" t="s">
        <v>58</v>
      </c>
      <c r="M32" s="31"/>
      <c r="N32" s="31"/>
      <c r="O32" s="32"/>
      <c r="P32" s="32"/>
      <c r="Q32" s="32"/>
      <c r="R32" s="32"/>
      <c r="S32" s="32"/>
      <c r="T32" s="32"/>
      <c r="U32" s="32"/>
    </row>
    <row r="33" spans="1:21" ht="42" x14ac:dyDescent="0.25">
      <c r="A33" s="44" t="s">
        <v>57</v>
      </c>
      <c r="B33" s="517" t="s">
        <v>56</v>
      </c>
      <c r="C33" s="518"/>
      <c r="D33" s="518"/>
      <c r="E33" s="518"/>
      <c r="F33" s="519"/>
      <c r="G33" s="520" t="s">
        <v>55</v>
      </c>
      <c r="H33" s="521"/>
      <c r="I33" s="521"/>
      <c r="J33" s="522"/>
      <c r="M33" s="31"/>
      <c r="N33" s="31"/>
      <c r="O33" s="32"/>
      <c r="P33" s="32"/>
      <c r="Q33" s="32"/>
      <c r="R33" s="32"/>
      <c r="S33" s="32"/>
      <c r="T33" s="32"/>
      <c r="U33" s="32"/>
    </row>
    <row r="34" spans="1:21" ht="21" customHeight="1" x14ac:dyDescent="0.25">
      <c r="A34" s="42"/>
      <c r="B34" s="523"/>
      <c r="C34" s="518"/>
      <c r="D34" s="518"/>
      <c r="E34" s="518"/>
      <c r="F34" s="519"/>
      <c r="G34" s="524" t="s">
        <v>54</v>
      </c>
      <c r="H34" s="526"/>
      <c r="I34" s="524" t="s">
        <v>53</v>
      </c>
      <c r="J34" s="525"/>
      <c r="K34" s="43"/>
      <c r="L34" s="43"/>
      <c r="M34" s="31"/>
      <c r="N34" s="31"/>
      <c r="O34" s="32"/>
      <c r="P34" s="32"/>
      <c r="Q34" s="32"/>
      <c r="R34" s="32"/>
      <c r="S34" s="32"/>
      <c r="T34" s="39"/>
      <c r="U34" s="32"/>
    </row>
    <row r="35" spans="1:21" ht="89" x14ac:dyDescent="0.35">
      <c r="A35" s="42" t="s">
        <v>52</v>
      </c>
      <c r="B35" s="40" t="s">
        <v>51</v>
      </c>
      <c r="C35" s="40" t="s">
        <v>50</v>
      </c>
      <c r="D35" s="40" t="s">
        <v>49</v>
      </c>
      <c r="E35" s="40" t="s">
        <v>48</v>
      </c>
      <c r="F35" s="40" t="s">
        <v>47</v>
      </c>
      <c r="G35" s="41" t="s">
        <v>46</v>
      </c>
      <c r="H35" s="41" t="s">
        <v>45</v>
      </c>
      <c r="I35" s="41" t="s">
        <v>46</v>
      </c>
      <c r="J35" s="40" t="s">
        <v>45</v>
      </c>
      <c r="K35" s="43"/>
      <c r="L35" s="43"/>
      <c r="M35" s="31"/>
      <c r="N35" s="31"/>
      <c r="O35" s="32"/>
      <c r="P35" s="32"/>
      <c r="Q35" s="32"/>
      <c r="R35" s="32"/>
      <c r="S35" s="39"/>
      <c r="T35" s="32"/>
    </row>
    <row r="36" spans="1:21" ht="27.75" customHeight="1" x14ac:dyDescent="0.25">
      <c r="A36" s="255" t="s">
        <v>94</v>
      </c>
      <c r="B36" s="37">
        <v>0.75</v>
      </c>
      <c r="C36" s="37">
        <v>0.4</v>
      </c>
      <c r="D36" s="37">
        <v>0.6</v>
      </c>
      <c r="E36" s="54">
        <v>15</v>
      </c>
      <c r="F36" s="37">
        <v>0.3</v>
      </c>
      <c r="G36" s="37" t="s">
        <v>93</v>
      </c>
      <c r="H36" s="37" t="s">
        <v>92</v>
      </c>
      <c r="I36" s="38">
        <v>23</v>
      </c>
      <c r="J36" s="45">
        <v>1.1000000000000001</v>
      </c>
      <c r="K36" s="43"/>
      <c r="L36" s="43"/>
      <c r="M36" s="31"/>
      <c r="N36" s="31"/>
      <c r="O36" s="32"/>
      <c r="P36" s="32"/>
      <c r="Q36" s="32"/>
      <c r="R36" s="32"/>
      <c r="S36" s="32"/>
      <c r="T36" s="32"/>
    </row>
    <row r="37" spans="1:21" x14ac:dyDescent="0.25">
      <c r="M37" s="31"/>
      <c r="N37" s="31"/>
      <c r="O37" s="32"/>
      <c r="P37" s="32"/>
      <c r="Q37" s="32"/>
      <c r="R37" s="36"/>
      <c r="S37" s="36"/>
      <c r="T37" s="36"/>
    </row>
    <row r="38" spans="1:21" x14ac:dyDescent="0.25">
      <c r="M38" s="31"/>
      <c r="N38" s="31"/>
      <c r="O38" s="32"/>
      <c r="P38" s="32"/>
      <c r="Q38" s="32"/>
      <c r="R38" s="32"/>
      <c r="S38" s="32"/>
      <c r="T38" s="32"/>
    </row>
    <row r="39" spans="1:21" x14ac:dyDescent="0.25">
      <c r="M39" s="31"/>
      <c r="N39" s="31"/>
      <c r="O39" s="32"/>
      <c r="P39" s="32"/>
      <c r="Q39" s="32"/>
      <c r="R39" s="32"/>
      <c r="S39" s="32"/>
      <c r="T39" s="32"/>
    </row>
    <row r="40" spans="1:21" x14ac:dyDescent="0.25">
      <c r="M40" s="31"/>
      <c r="N40" s="31"/>
      <c r="O40" s="32"/>
      <c r="P40" s="32"/>
      <c r="Q40" s="32"/>
      <c r="R40" s="32"/>
      <c r="S40" s="32"/>
      <c r="T40" s="32"/>
    </row>
    <row r="41" spans="1:21" x14ac:dyDescent="0.25">
      <c r="M41" s="31"/>
      <c r="N41" s="31"/>
      <c r="O41" s="32"/>
      <c r="P41" s="32"/>
      <c r="Q41" s="32"/>
      <c r="R41" s="35"/>
      <c r="S41" s="35"/>
      <c r="T41" s="35"/>
    </row>
    <row r="42" spans="1:21" x14ac:dyDescent="0.25">
      <c r="M42" s="31"/>
      <c r="N42" s="31"/>
      <c r="O42" s="32"/>
      <c r="P42" s="32"/>
      <c r="Q42" s="32"/>
    </row>
    <row r="43" spans="1:21" x14ac:dyDescent="0.25">
      <c r="M43" s="31"/>
      <c r="N43" s="31"/>
      <c r="O43" s="32"/>
      <c r="P43" s="32"/>
      <c r="Q43" s="32"/>
    </row>
    <row r="44" spans="1:21" x14ac:dyDescent="0.25">
      <c r="A44" s="252" t="s">
        <v>32</v>
      </c>
      <c r="M44" s="31"/>
      <c r="N44" s="31"/>
      <c r="O44" s="32"/>
      <c r="P44" s="32"/>
      <c r="Q44" s="32"/>
    </row>
    <row r="45" spans="1:21" ht="60.75" customHeight="1" x14ac:dyDescent="0.25">
      <c r="A45" s="52" t="s">
        <v>69</v>
      </c>
      <c r="B45" s="51" t="s">
        <v>68</v>
      </c>
      <c r="C45" s="50" t="s">
        <v>67</v>
      </c>
      <c r="D45" s="50" t="s">
        <v>66</v>
      </c>
      <c r="E45" s="50" t="s">
        <v>65</v>
      </c>
      <c r="F45" s="50" t="s">
        <v>64</v>
      </c>
      <c r="G45" s="50" t="s">
        <v>63</v>
      </c>
      <c r="H45" s="50" t="s">
        <v>62</v>
      </c>
      <c r="I45" s="49" t="s">
        <v>61</v>
      </c>
      <c r="M45" s="31"/>
      <c r="N45" s="31"/>
      <c r="O45" s="32"/>
      <c r="P45" s="32"/>
      <c r="Q45" s="32"/>
      <c r="R45" s="32"/>
      <c r="S45" s="32"/>
      <c r="T45" s="32"/>
      <c r="U45" s="32"/>
    </row>
    <row r="46" spans="1:21" x14ac:dyDescent="0.25">
      <c r="A46" s="48" t="s">
        <v>76</v>
      </c>
      <c r="B46" s="47" t="s">
        <v>59</v>
      </c>
      <c r="C46" s="46">
        <v>6</v>
      </c>
      <c r="D46" s="46">
        <v>26</v>
      </c>
      <c r="E46" s="46">
        <v>7</v>
      </c>
      <c r="F46" s="46">
        <v>0.2</v>
      </c>
      <c r="G46" s="57" t="s">
        <v>83</v>
      </c>
      <c r="H46" s="45">
        <f>D46/C46</f>
        <v>4.333333333333333</v>
      </c>
      <c r="I46" s="45" t="s">
        <v>58</v>
      </c>
      <c r="M46" s="31"/>
      <c r="N46" s="31"/>
      <c r="O46" s="32"/>
      <c r="P46" s="32"/>
      <c r="Q46" s="32"/>
      <c r="R46" s="32"/>
      <c r="S46" s="32"/>
      <c r="T46" s="32"/>
      <c r="U46" s="32"/>
    </row>
    <row r="47" spans="1:21" ht="42" x14ac:dyDescent="0.25">
      <c r="A47" s="44" t="s">
        <v>57</v>
      </c>
      <c r="B47" s="517" t="s">
        <v>56</v>
      </c>
      <c r="C47" s="518"/>
      <c r="D47" s="518"/>
      <c r="E47" s="518"/>
      <c r="F47" s="519"/>
      <c r="G47" s="520" t="s">
        <v>55</v>
      </c>
      <c r="H47" s="521"/>
      <c r="I47" s="521"/>
      <c r="J47" s="522"/>
      <c r="M47" s="31"/>
      <c r="N47" s="31"/>
      <c r="O47" s="32"/>
      <c r="P47" s="32"/>
      <c r="Q47" s="32"/>
      <c r="R47" s="32"/>
      <c r="S47" s="32"/>
      <c r="T47" s="32"/>
      <c r="U47" s="32"/>
    </row>
    <row r="48" spans="1:21" ht="21" customHeight="1" x14ac:dyDescent="0.25">
      <c r="A48" s="42"/>
      <c r="B48" s="523"/>
      <c r="C48" s="518"/>
      <c r="D48" s="518"/>
      <c r="E48" s="518"/>
      <c r="F48" s="519"/>
      <c r="G48" s="524" t="s">
        <v>54</v>
      </c>
      <c r="H48" s="526"/>
      <c r="I48" s="524" t="s">
        <v>53</v>
      </c>
      <c r="J48" s="525"/>
      <c r="K48" s="43"/>
      <c r="L48" s="43"/>
      <c r="M48" s="31"/>
      <c r="N48" s="31"/>
      <c r="O48" s="32"/>
      <c r="P48" s="32"/>
      <c r="Q48" s="32"/>
      <c r="R48" s="32"/>
      <c r="S48" s="32"/>
      <c r="T48" s="39"/>
      <c r="U48" s="32"/>
    </row>
    <row r="49" spans="1:20" ht="89" x14ac:dyDescent="0.35">
      <c r="A49" s="42" t="s">
        <v>52</v>
      </c>
      <c r="B49" s="40" t="s">
        <v>51</v>
      </c>
      <c r="C49" s="40" t="s">
        <v>50</v>
      </c>
      <c r="D49" s="40" t="s">
        <v>49</v>
      </c>
      <c r="E49" s="40" t="s">
        <v>48</v>
      </c>
      <c r="F49" s="40" t="s">
        <v>47</v>
      </c>
      <c r="G49" s="41" t="s">
        <v>46</v>
      </c>
      <c r="H49" s="41" t="s">
        <v>45</v>
      </c>
      <c r="I49" s="41" t="s">
        <v>46</v>
      </c>
      <c r="J49" s="40" t="s">
        <v>45</v>
      </c>
      <c r="K49" s="43"/>
      <c r="L49" s="43"/>
      <c r="M49" s="31"/>
      <c r="N49" s="31"/>
      <c r="O49" s="32"/>
      <c r="P49" s="32"/>
      <c r="Q49" s="32"/>
      <c r="R49" s="32"/>
      <c r="S49" s="39"/>
      <c r="T49" s="32"/>
    </row>
    <row r="50" spans="1:20" ht="27" customHeight="1" x14ac:dyDescent="0.25">
      <c r="A50" s="255" t="s">
        <v>82</v>
      </c>
      <c r="B50" s="37">
        <v>1</v>
      </c>
      <c r="C50" s="37">
        <v>0.4</v>
      </c>
      <c r="D50" s="37">
        <v>0.6</v>
      </c>
      <c r="E50" s="54">
        <v>15</v>
      </c>
      <c r="F50" s="37">
        <v>0.35</v>
      </c>
      <c r="G50" s="37" t="s">
        <v>91</v>
      </c>
      <c r="H50" s="37" t="s">
        <v>90</v>
      </c>
      <c r="I50" s="37" t="s">
        <v>89</v>
      </c>
      <c r="J50" s="45">
        <v>1.6</v>
      </c>
      <c r="K50" s="43"/>
      <c r="L50" s="43"/>
      <c r="M50" s="31"/>
      <c r="N50" s="31"/>
      <c r="O50" s="32"/>
      <c r="P50" s="32"/>
      <c r="Q50" s="32"/>
      <c r="R50" s="32"/>
      <c r="S50" s="32"/>
      <c r="T50" s="32"/>
    </row>
    <row r="51" spans="1:20" x14ac:dyDescent="0.25">
      <c r="K51" s="43"/>
      <c r="L51" s="43"/>
      <c r="M51" s="31"/>
      <c r="N51" s="31"/>
      <c r="O51" s="32"/>
      <c r="P51" s="32"/>
      <c r="Q51" s="32"/>
      <c r="R51" s="36"/>
      <c r="S51" s="36"/>
      <c r="T51" s="36"/>
    </row>
    <row r="52" spans="1:20" x14ac:dyDescent="0.25">
      <c r="M52" s="31"/>
      <c r="N52" s="31"/>
      <c r="O52" s="32"/>
      <c r="P52" s="32"/>
      <c r="Q52" s="32"/>
      <c r="R52" s="32"/>
      <c r="S52" s="32"/>
      <c r="T52" s="32"/>
    </row>
    <row r="53" spans="1:20" x14ac:dyDescent="0.25">
      <c r="M53" s="31"/>
      <c r="N53" s="31"/>
      <c r="O53" s="32"/>
      <c r="P53" s="32"/>
      <c r="Q53" s="32"/>
      <c r="R53" s="32"/>
      <c r="S53" s="32"/>
      <c r="T53" s="32"/>
    </row>
    <row r="54" spans="1:20" x14ac:dyDescent="0.25">
      <c r="M54" s="31"/>
      <c r="N54" s="31"/>
      <c r="O54" s="32"/>
      <c r="P54" s="32"/>
      <c r="Q54" s="32"/>
      <c r="R54" s="32"/>
      <c r="S54" s="32"/>
      <c r="T54" s="32"/>
    </row>
    <row r="55" spans="1:20" x14ac:dyDescent="0.25">
      <c r="M55" s="31"/>
      <c r="N55" s="31"/>
      <c r="O55" s="32"/>
      <c r="P55" s="32"/>
      <c r="Q55" s="32"/>
      <c r="R55" s="35"/>
      <c r="S55" s="35"/>
      <c r="T55" s="35"/>
    </row>
    <row r="56" spans="1:20" x14ac:dyDescent="0.25">
      <c r="M56" s="31"/>
      <c r="N56" s="31"/>
      <c r="O56" s="32"/>
      <c r="P56" s="32"/>
      <c r="Q56" s="32"/>
    </row>
    <row r="57" spans="1:20" x14ac:dyDescent="0.25">
      <c r="M57" s="31"/>
      <c r="N57" s="31"/>
      <c r="O57" s="32"/>
      <c r="P57" s="32"/>
      <c r="Q57" s="32"/>
    </row>
    <row r="58" spans="1:20" x14ac:dyDescent="0.25">
      <c r="A58" s="252" t="s">
        <v>33</v>
      </c>
    </row>
    <row r="59" spans="1:20" ht="60.75" customHeight="1" x14ac:dyDescent="0.25">
      <c r="A59" s="52" t="s">
        <v>69</v>
      </c>
      <c r="B59" s="51" t="s">
        <v>68</v>
      </c>
      <c r="C59" s="50" t="s">
        <v>67</v>
      </c>
      <c r="D59" s="50" t="s">
        <v>66</v>
      </c>
      <c r="E59" s="50" t="s">
        <v>65</v>
      </c>
      <c r="F59" s="50" t="s">
        <v>64</v>
      </c>
      <c r="G59" s="50" t="s">
        <v>63</v>
      </c>
      <c r="H59" s="50" t="s">
        <v>62</v>
      </c>
      <c r="I59" s="49" t="s">
        <v>61</v>
      </c>
      <c r="M59" s="31"/>
      <c r="N59" s="31"/>
      <c r="O59" s="32"/>
      <c r="P59" s="32"/>
      <c r="Q59" s="32"/>
      <c r="R59" s="32"/>
      <c r="S59" s="32"/>
      <c r="T59" s="32"/>
    </row>
    <row r="60" spans="1:20" x14ac:dyDescent="0.25">
      <c r="A60" s="48" t="s">
        <v>76</v>
      </c>
      <c r="B60" s="47" t="s">
        <v>59</v>
      </c>
      <c r="C60" s="46">
        <v>8</v>
      </c>
      <c r="D60" s="46">
        <v>32</v>
      </c>
      <c r="E60" s="46">
        <v>7</v>
      </c>
      <c r="F60" s="46">
        <v>0</v>
      </c>
      <c r="G60" s="38">
        <v>0</v>
      </c>
      <c r="H60" s="45">
        <f>D60/C60</f>
        <v>4</v>
      </c>
      <c r="I60" s="45" t="s">
        <v>58</v>
      </c>
      <c r="M60" s="31"/>
      <c r="N60" s="31"/>
      <c r="O60" s="32"/>
      <c r="P60" s="32"/>
      <c r="Q60" s="32"/>
      <c r="R60" s="32"/>
      <c r="S60" s="32"/>
      <c r="T60" s="32"/>
    </row>
    <row r="61" spans="1:20" ht="42" x14ac:dyDescent="0.25">
      <c r="A61" s="44" t="s">
        <v>57</v>
      </c>
      <c r="B61" s="517" t="s">
        <v>56</v>
      </c>
      <c r="C61" s="518"/>
      <c r="D61" s="518"/>
      <c r="E61" s="518"/>
      <c r="F61" s="519"/>
      <c r="G61" s="520" t="s">
        <v>55</v>
      </c>
      <c r="H61" s="521"/>
      <c r="I61" s="521"/>
      <c r="J61" s="522"/>
      <c r="M61" s="31"/>
      <c r="N61" s="31"/>
      <c r="O61" s="32"/>
      <c r="P61" s="32"/>
      <c r="Q61" s="32"/>
      <c r="R61" s="32"/>
      <c r="S61" s="32"/>
      <c r="T61" s="32"/>
    </row>
    <row r="62" spans="1:20" ht="21" customHeight="1" x14ac:dyDescent="0.25">
      <c r="A62" s="42"/>
      <c r="B62" s="523"/>
      <c r="C62" s="518"/>
      <c r="D62" s="518"/>
      <c r="E62" s="518"/>
      <c r="F62" s="519"/>
      <c r="G62" s="524" t="s">
        <v>54</v>
      </c>
      <c r="H62" s="526"/>
      <c r="I62" s="524" t="s">
        <v>53</v>
      </c>
      <c r="J62" s="525"/>
      <c r="K62" s="43"/>
      <c r="L62" s="43"/>
      <c r="M62" s="31"/>
      <c r="N62" s="31"/>
      <c r="O62" s="32"/>
      <c r="P62" s="32"/>
      <c r="Q62" s="32"/>
      <c r="R62" s="32"/>
      <c r="S62" s="39"/>
      <c r="T62" s="32"/>
    </row>
    <row r="63" spans="1:20" ht="89" x14ac:dyDescent="0.35">
      <c r="A63" s="42" t="s">
        <v>52</v>
      </c>
      <c r="B63" s="40" t="s">
        <v>51</v>
      </c>
      <c r="C63" s="40" t="s">
        <v>50</v>
      </c>
      <c r="D63" s="40" t="s">
        <v>49</v>
      </c>
      <c r="E63" s="40" t="s">
        <v>48</v>
      </c>
      <c r="F63" s="40" t="s">
        <v>47</v>
      </c>
      <c r="G63" s="41" t="s">
        <v>46</v>
      </c>
      <c r="H63" s="41" t="s">
        <v>45</v>
      </c>
      <c r="I63" s="41" t="s">
        <v>46</v>
      </c>
      <c r="J63" s="40" t="s">
        <v>45</v>
      </c>
      <c r="K63" s="43"/>
      <c r="L63" s="43"/>
      <c r="M63" s="31"/>
      <c r="N63" s="31"/>
      <c r="O63" s="32"/>
      <c r="P63" s="32"/>
      <c r="Q63" s="32"/>
      <c r="R63" s="32"/>
      <c r="S63" s="39"/>
      <c r="T63" s="32"/>
    </row>
    <row r="64" spans="1:20" ht="28.5" customHeight="1" x14ac:dyDescent="0.25">
      <c r="A64" s="255" t="s">
        <v>82</v>
      </c>
      <c r="B64" s="37">
        <v>1</v>
      </c>
      <c r="C64" s="37">
        <v>0.4</v>
      </c>
      <c r="D64" s="37">
        <v>0.6</v>
      </c>
      <c r="E64" s="54">
        <v>15</v>
      </c>
      <c r="F64" s="37">
        <v>0.35</v>
      </c>
      <c r="G64" s="37" t="s">
        <v>88</v>
      </c>
      <c r="H64" s="37" t="s">
        <v>87</v>
      </c>
      <c r="I64" s="38">
        <v>27</v>
      </c>
      <c r="J64" s="45">
        <v>1.6</v>
      </c>
      <c r="K64" s="43"/>
      <c r="L64" s="43"/>
      <c r="M64" s="31"/>
      <c r="N64" s="31"/>
      <c r="O64" s="32"/>
      <c r="P64" s="32"/>
      <c r="Q64" s="32"/>
      <c r="R64" s="32"/>
      <c r="S64" s="32"/>
      <c r="T64" s="32"/>
    </row>
    <row r="65" spans="1:21" x14ac:dyDescent="0.25">
      <c r="M65" s="31"/>
      <c r="N65" s="31"/>
      <c r="O65" s="32"/>
      <c r="P65" s="32"/>
      <c r="Q65" s="32"/>
      <c r="R65" s="36"/>
      <c r="S65" s="36"/>
      <c r="T65" s="36"/>
    </row>
    <row r="66" spans="1:21" x14ac:dyDescent="0.25">
      <c r="M66" s="31"/>
      <c r="N66" s="31"/>
      <c r="O66" s="32"/>
      <c r="P66" s="32"/>
      <c r="Q66" s="32"/>
      <c r="R66" s="32"/>
      <c r="S66" s="32"/>
      <c r="T66" s="32"/>
    </row>
    <row r="67" spans="1:21" x14ac:dyDescent="0.25">
      <c r="M67" s="31"/>
      <c r="N67" s="31"/>
      <c r="O67" s="32"/>
      <c r="P67" s="32"/>
      <c r="Q67" s="32"/>
      <c r="R67" s="32"/>
      <c r="S67" s="32"/>
      <c r="T67" s="32"/>
    </row>
    <row r="68" spans="1:21" x14ac:dyDescent="0.25">
      <c r="M68" s="31"/>
      <c r="N68" s="31"/>
      <c r="O68" s="32"/>
      <c r="P68" s="32"/>
      <c r="Q68" s="32"/>
      <c r="R68" s="32"/>
      <c r="S68" s="32"/>
      <c r="T68" s="32"/>
    </row>
    <row r="69" spans="1:21" x14ac:dyDescent="0.25">
      <c r="M69" s="31"/>
      <c r="N69" s="31"/>
      <c r="O69" s="32"/>
      <c r="P69" s="32"/>
      <c r="Q69" s="32"/>
      <c r="R69" s="35"/>
      <c r="S69" s="35"/>
      <c r="T69" s="35"/>
    </row>
    <row r="70" spans="1:21" x14ac:dyDescent="0.25">
      <c r="M70" s="31"/>
      <c r="N70" s="31"/>
      <c r="O70" s="32"/>
      <c r="P70" s="32"/>
      <c r="Q70" s="32"/>
    </row>
    <row r="71" spans="1:21" ht="27.75" customHeight="1" x14ac:dyDescent="0.25">
      <c r="A71" s="252" t="s">
        <v>34</v>
      </c>
    </row>
    <row r="72" spans="1:21" ht="60.75" customHeight="1" x14ac:dyDescent="0.25">
      <c r="A72" s="52" t="s">
        <v>69</v>
      </c>
      <c r="B72" s="51" t="s">
        <v>68</v>
      </c>
      <c r="C72" s="50" t="s">
        <v>67</v>
      </c>
      <c r="D72" s="50" t="s">
        <v>66</v>
      </c>
      <c r="E72" s="50" t="s">
        <v>65</v>
      </c>
      <c r="F72" s="50" t="s">
        <v>64</v>
      </c>
      <c r="G72" s="50" t="s">
        <v>63</v>
      </c>
      <c r="H72" s="50" t="s">
        <v>62</v>
      </c>
      <c r="I72" s="49" t="s">
        <v>61</v>
      </c>
      <c r="M72" s="31"/>
      <c r="N72" s="31"/>
      <c r="O72" s="32"/>
      <c r="P72" s="32"/>
      <c r="Q72" s="32"/>
      <c r="R72" s="32"/>
      <c r="S72" s="32"/>
      <c r="T72" s="32"/>
      <c r="U72" s="32"/>
    </row>
    <row r="73" spans="1:21" x14ac:dyDescent="0.25">
      <c r="A73" s="48" t="s">
        <v>76</v>
      </c>
      <c r="B73" s="47" t="s">
        <v>59</v>
      </c>
      <c r="C73" s="46">
        <v>7</v>
      </c>
      <c r="D73" s="46">
        <v>21</v>
      </c>
      <c r="E73" s="46">
        <v>9</v>
      </c>
      <c r="F73" s="46">
        <v>0</v>
      </c>
      <c r="G73" s="56">
        <v>3</v>
      </c>
      <c r="H73" s="45">
        <f>D73/C73</f>
        <v>3</v>
      </c>
      <c r="I73" s="45" t="s">
        <v>58</v>
      </c>
      <c r="M73" s="31"/>
      <c r="N73" s="31"/>
      <c r="O73" s="32"/>
      <c r="P73" s="32"/>
      <c r="Q73" s="32"/>
      <c r="R73" s="32"/>
      <c r="S73" s="32"/>
      <c r="T73" s="32"/>
      <c r="U73" s="32"/>
    </row>
    <row r="74" spans="1:21" ht="42" x14ac:dyDescent="0.25">
      <c r="A74" s="44" t="s">
        <v>57</v>
      </c>
      <c r="B74" s="517" t="s">
        <v>56</v>
      </c>
      <c r="C74" s="518"/>
      <c r="D74" s="518"/>
      <c r="E74" s="518"/>
      <c r="F74" s="519"/>
      <c r="G74" s="520" t="s">
        <v>55</v>
      </c>
      <c r="H74" s="521"/>
      <c r="I74" s="521"/>
      <c r="J74" s="522"/>
      <c r="M74" s="31"/>
      <c r="N74" s="31"/>
      <c r="O74" s="32"/>
      <c r="P74" s="32"/>
      <c r="Q74" s="32"/>
      <c r="R74" s="32"/>
      <c r="S74" s="32"/>
      <c r="T74" s="32"/>
      <c r="U74" s="32"/>
    </row>
    <row r="75" spans="1:21" ht="21" customHeight="1" x14ac:dyDescent="0.25">
      <c r="A75" s="42"/>
      <c r="B75" s="523"/>
      <c r="C75" s="518"/>
      <c r="D75" s="518"/>
      <c r="E75" s="518"/>
      <c r="F75" s="519"/>
      <c r="G75" s="524" t="s">
        <v>54</v>
      </c>
      <c r="H75" s="526"/>
      <c r="I75" s="524" t="s">
        <v>53</v>
      </c>
      <c r="J75" s="525"/>
      <c r="K75" s="43"/>
      <c r="M75" s="31"/>
      <c r="N75" s="31"/>
      <c r="O75" s="32"/>
      <c r="P75" s="32"/>
      <c r="Q75" s="32"/>
      <c r="R75" s="32"/>
      <c r="S75" s="32"/>
      <c r="T75" s="39"/>
      <c r="U75" s="32"/>
    </row>
    <row r="76" spans="1:21" ht="89" x14ac:dyDescent="0.35">
      <c r="A76" s="42" t="s">
        <v>52</v>
      </c>
      <c r="B76" s="40" t="s">
        <v>51</v>
      </c>
      <c r="C76" s="40" t="s">
        <v>50</v>
      </c>
      <c r="D76" s="40" t="s">
        <v>49</v>
      </c>
      <c r="E76" s="40" t="s">
        <v>48</v>
      </c>
      <c r="F76" s="40" t="s">
        <v>47</v>
      </c>
      <c r="G76" s="41" t="s">
        <v>46</v>
      </c>
      <c r="H76" s="41" t="s">
        <v>45</v>
      </c>
      <c r="I76" s="41" t="s">
        <v>46</v>
      </c>
      <c r="J76" s="40" t="s">
        <v>45</v>
      </c>
      <c r="M76" s="31"/>
      <c r="N76" s="31"/>
      <c r="O76" s="32"/>
      <c r="P76" s="32"/>
      <c r="Q76" s="32"/>
      <c r="R76" s="32"/>
      <c r="S76" s="39"/>
      <c r="T76" s="32"/>
    </row>
    <row r="77" spans="1:21" ht="27.75" customHeight="1" x14ac:dyDescent="0.25">
      <c r="A77" s="255" t="s">
        <v>82</v>
      </c>
      <c r="B77" s="55">
        <v>1</v>
      </c>
      <c r="C77" s="37">
        <v>0.4</v>
      </c>
      <c r="D77" s="37">
        <v>0.6</v>
      </c>
      <c r="E77" s="54">
        <v>15</v>
      </c>
      <c r="F77" s="37">
        <v>0.35</v>
      </c>
      <c r="G77" s="37" t="s">
        <v>86</v>
      </c>
      <c r="H77" s="37" t="s">
        <v>85</v>
      </c>
      <c r="I77" s="37" t="s">
        <v>84</v>
      </c>
      <c r="J77" s="45">
        <v>1.5</v>
      </c>
      <c r="M77" s="31"/>
      <c r="N77" s="31"/>
      <c r="O77" s="32"/>
      <c r="P77" s="32"/>
      <c r="Q77" s="32"/>
      <c r="R77" s="32"/>
      <c r="S77" s="32"/>
      <c r="T77" s="32"/>
    </row>
    <row r="78" spans="1:21" x14ac:dyDescent="0.25">
      <c r="M78" s="31"/>
      <c r="N78" s="31"/>
      <c r="O78" s="32"/>
      <c r="P78" s="32"/>
      <c r="Q78" s="32"/>
      <c r="R78" s="36"/>
      <c r="S78" s="36"/>
      <c r="T78" s="36"/>
    </row>
    <row r="79" spans="1:21" x14ac:dyDescent="0.25">
      <c r="M79" s="31"/>
      <c r="N79" s="31"/>
      <c r="O79" s="32"/>
      <c r="P79" s="32"/>
      <c r="Q79" s="32"/>
      <c r="R79" s="32"/>
      <c r="S79" s="32"/>
      <c r="T79" s="32"/>
    </row>
    <row r="80" spans="1:21" x14ac:dyDescent="0.25">
      <c r="M80" s="31"/>
      <c r="N80" s="31"/>
      <c r="O80" s="32"/>
      <c r="P80" s="32"/>
      <c r="Q80" s="32"/>
      <c r="R80" s="32"/>
      <c r="S80" s="32"/>
      <c r="T80" s="32"/>
    </row>
    <row r="81" spans="1:21" x14ac:dyDescent="0.25">
      <c r="M81" s="31"/>
      <c r="N81" s="31"/>
      <c r="O81" s="32"/>
      <c r="P81" s="32"/>
      <c r="Q81" s="32"/>
      <c r="R81" s="32"/>
      <c r="S81" s="32"/>
      <c r="T81" s="32"/>
    </row>
    <row r="82" spans="1:21" x14ac:dyDescent="0.25">
      <c r="M82" s="31"/>
      <c r="N82" s="31"/>
      <c r="O82" s="32"/>
      <c r="P82" s="32"/>
      <c r="Q82" s="32"/>
      <c r="R82" s="35"/>
      <c r="S82" s="35"/>
      <c r="T82" s="35"/>
    </row>
    <row r="83" spans="1:21" x14ac:dyDescent="0.25">
      <c r="M83" s="31"/>
      <c r="N83" s="31"/>
      <c r="O83" s="32"/>
      <c r="P83" s="32"/>
      <c r="Q83" s="32"/>
    </row>
    <row r="84" spans="1:21" ht="27.75" customHeight="1" x14ac:dyDescent="0.25">
      <c r="M84" s="31"/>
      <c r="N84" s="31"/>
      <c r="O84" s="32"/>
      <c r="P84" s="32"/>
      <c r="Q84" s="32"/>
    </row>
    <row r="85" spans="1:21" ht="27.75" customHeight="1" x14ac:dyDescent="0.25">
      <c r="A85" s="252" t="s">
        <v>35</v>
      </c>
    </row>
    <row r="86" spans="1:21" ht="60.75" customHeight="1" x14ac:dyDescent="0.25">
      <c r="A86" s="52" t="s">
        <v>69</v>
      </c>
      <c r="B86" s="51" t="s">
        <v>68</v>
      </c>
      <c r="C86" s="50" t="s">
        <v>67</v>
      </c>
      <c r="D86" s="50" t="s">
        <v>66</v>
      </c>
      <c r="E86" s="50" t="s">
        <v>65</v>
      </c>
      <c r="F86" s="50" t="s">
        <v>64</v>
      </c>
      <c r="G86" s="50" t="s">
        <v>63</v>
      </c>
      <c r="H86" s="50" t="s">
        <v>62</v>
      </c>
      <c r="I86" s="49" t="s">
        <v>61</v>
      </c>
      <c r="M86" s="31"/>
      <c r="N86" s="31"/>
      <c r="O86" s="32"/>
      <c r="P86" s="32"/>
      <c r="Q86" s="32"/>
      <c r="R86" s="32"/>
      <c r="S86" s="32"/>
      <c r="T86" s="32"/>
      <c r="U86" s="32"/>
    </row>
    <row r="87" spans="1:21" x14ac:dyDescent="0.25">
      <c r="A87" s="48" t="s">
        <v>76</v>
      </c>
      <c r="B87" s="47" t="s">
        <v>59</v>
      </c>
      <c r="C87" s="46">
        <v>10</v>
      </c>
      <c r="D87" s="46">
        <v>37</v>
      </c>
      <c r="E87" s="46">
        <v>10</v>
      </c>
      <c r="F87" s="46">
        <v>0.2</v>
      </c>
      <c r="G87" s="45" t="s">
        <v>83</v>
      </c>
      <c r="H87" s="45">
        <f>D87/C87</f>
        <v>3.7</v>
      </c>
      <c r="I87" s="45" t="s">
        <v>58</v>
      </c>
      <c r="M87" s="31"/>
      <c r="N87" s="31"/>
      <c r="O87" s="32"/>
      <c r="P87" s="32"/>
      <c r="Q87" s="32"/>
      <c r="R87" s="32"/>
      <c r="S87" s="32"/>
      <c r="T87" s="32"/>
      <c r="U87" s="32"/>
    </row>
    <row r="88" spans="1:21" ht="42" x14ac:dyDescent="0.25">
      <c r="A88" s="44" t="s">
        <v>57</v>
      </c>
      <c r="B88" s="517" t="s">
        <v>56</v>
      </c>
      <c r="C88" s="518"/>
      <c r="D88" s="518"/>
      <c r="E88" s="518"/>
      <c r="F88" s="519"/>
      <c r="G88" s="520" t="s">
        <v>55</v>
      </c>
      <c r="H88" s="521"/>
      <c r="I88" s="521"/>
      <c r="J88" s="522"/>
      <c r="M88" s="31"/>
      <c r="N88" s="31"/>
      <c r="O88" s="32"/>
      <c r="P88" s="32"/>
      <c r="Q88" s="32"/>
      <c r="R88" s="32"/>
      <c r="S88" s="32"/>
      <c r="T88" s="32"/>
      <c r="U88" s="32"/>
    </row>
    <row r="89" spans="1:21" ht="21" customHeight="1" x14ac:dyDescent="0.25">
      <c r="A89" s="42"/>
      <c r="B89" s="523"/>
      <c r="C89" s="518"/>
      <c r="D89" s="518"/>
      <c r="E89" s="518"/>
      <c r="F89" s="519"/>
      <c r="G89" s="524" t="s">
        <v>54</v>
      </c>
      <c r="H89" s="526"/>
      <c r="I89" s="524" t="s">
        <v>53</v>
      </c>
      <c r="J89" s="525"/>
      <c r="K89" s="43"/>
      <c r="L89" s="43"/>
      <c r="M89" s="31"/>
      <c r="N89" s="31"/>
      <c r="O89" s="32"/>
      <c r="P89" s="32"/>
      <c r="Q89" s="32"/>
      <c r="R89" s="32"/>
      <c r="S89" s="39"/>
      <c r="T89" s="32"/>
    </row>
    <row r="90" spans="1:21" ht="89" x14ac:dyDescent="0.35">
      <c r="A90" s="42" t="s">
        <v>52</v>
      </c>
      <c r="B90" s="40" t="s">
        <v>51</v>
      </c>
      <c r="C90" s="40" t="s">
        <v>50</v>
      </c>
      <c r="D90" s="40" t="s">
        <v>49</v>
      </c>
      <c r="E90" s="40" t="s">
        <v>48</v>
      </c>
      <c r="F90" s="40" t="s">
        <v>47</v>
      </c>
      <c r="G90" s="41" t="s">
        <v>46</v>
      </c>
      <c r="H90" s="41" t="s">
        <v>45</v>
      </c>
      <c r="I90" s="41" t="s">
        <v>46</v>
      </c>
      <c r="J90" s="40" t="s">
        <v>45</v>
      </c>
      <c r="M90" s="31"/>
      <c r="N90" s="31"/>
      <c r="O90" s="32"/>
      <c r="P90" s="32"/>
      <c r="Q90" s="32"/>
      <c r="R90" s="32"/>
      <c r="S90" s="39"/>
      <c r="T90" s="32"/>
    </row>
    <row r="91" spans="1:21" ht="27.75" customHeight="1" x14ac:dyDescent="0.25">
      <c r="A91" s="255" t="s">
        <v>82</v>
      </c>
      <c r="B91" s="37">
        <v>1</v>
      </c>
      <c r="C91" s="37">
        <v>0.4</v>
      </c>
      <c r="D91" s="37">
        <v>0.6</v>
      </c>
      <c r="E91" s="54">
        <v>15</v>
      </c>
      <c r="F91" s="37">
        <v>0.35</v>
      </c>
      <c r="G91" s="37" t="s">
        <v>81</v>
      </c>
      <c r="H91" s="45">
        <v>2.2999999999999998</v>
      </c>
      <c r="I91" s="37" t="s">
        <v>80</v>
      </c>
      <c r="J91" s="45">
        <v>1.6</v>
      </c>
      <c r="M91" s="31"/>
      <c r="N91" s="31"/>
      <c r="O91" s="32"/>
      <c r="P91" s="32"/>
      <c r="Q91" s="32"/>
      <c r="R91" s="32"/>
      <c r="S91" s="32"/>
      <c r="T91" s="32"/>
    </row>
    <row r="92" spans="1:21" x14ac:dyDescent="0.25">
      <c r="M92" s="31"/>
      <c r="N92" s="31"/>
      <c r="O92" s="32"/>
      <c r="P92" s="32"/>
      <c r="Q92" s="32"/>
      <c r="R92" s="36"/>
      <c r="S92" s="36"/>
      <c r="T92" s="36"/>
    </row>
    <row r="93" spans="1:21" x14ac:dyDescent="0.25">
      <c r="M93" s="31"/>
      <c r="N93" s="31"/>
      <c r="O93" s="32"/>
      <c r="P93" s="32"/>
      <c r="Q93" s="32"/>
      <c r="R93" s="32"/>
      <c r="S93" s="32"/>
      <c r="T93" s="32"/>
    </row>
    <row r="94" spans="1:21" x14ac:dyDescent="0.25">
      <c r="M94" s="31"/>
      <c r="N94" s="31"/>
      <c r="O94" s="32"/>
      <c r="P94" s="32"/>
      <c r="Q94" s="32"/>
      <c r="R94" s="32"/>
      <c r="S94" s="32"/>
      <c r="T94" s="32"/>
    </row>
    <row r="95" spans="1:21" ht="27.75" customHeight="1" x14ac:dyDescent="0.25"/>
    <row r="96" spans="1:21" ht="27.75" customHeight="1" x14ac:dyDescent="0.25"/>
    <row r="97" spans="1:21" x14ac:dyDescent="0.25">
      <c r="A97" s="252" t="s">
        <v>36</v>
      </c>
    </row>
    <row r="98" spans="1:21" ht="60.75" customHeight="1" x14ac:dyDescent="0.25">
      <c r="A98" s="52" t="s">
        <v>69</v>
      </c>
      <c r="B98" s="51" t="s">
        <v>68</v>
      </c>
      <c r="C98" s="50" t="s">
        <v>67</v>
      </c>
      <c r="D98" s="50" t="s">
        <v>66</v>
      </c>
      <c r="E98" s="50" t="s">
        <v>65</v>
      </c>
      <c r="F98" s="50" t="s">
        <v>64</v>
      </c>
      <c r="G98" s="50" t="s">
        <v>63</v>
      </c>
      <c r="H98" s="50" t="s">
        <v>62</v>
      </c>
      <c r="I98" s="49" t="s">
        <v>61</v>
      </c>
      <c r="M98" s="31"/>
      <c r="N98" s="31"/>
      <c r="O98" s="32"/>
      <c r="P98" s="32"/>
      <c r="Q98" s="32"/>
      <c r="R98" s="32"/>
      <c r="S98" s="32"/>
      <c r="T98" s="32"/>
      <c r="U98" s="32"/>
    </row>
    <row r="99" spans="1:21" x14ac:dyDescent="0.25">
      <c r="A99" s="48" t="s">
        <v>76</v>
      </c>
      <c r="B99" s="47" t="s">
        <v>79</v>
      </c>
      <c r="C99" s="46">
        <v>7</v>
      </c>
      <c r="D99" s="46">
        <v>33</v>
      </c>
      <c r="E99" s="46">
        <v>8</v>
      </c>
      <c r="F99" s="46">
        <v>0.2</v>
      </c>
      <c r="G99" s="45" t="s">
        <v>78</v>
      </c>
      <c r="H99" s="45">
        <v>4.0999999999999996</v>
      </c>
      <c r="I99" s="45" t="s">
        <v>58</v>
      </c>
      <c r="M99" s="31"/>
      <c r="N99" s="31"/>
      <c r="O99" s="32"/>
      <c r="P99" s="32"/>
      <c r="Q99" s="32"/>
      <c r="R99" s="32"/>
      <c r="S99" s="32"/>
      <c r="T99" s="32"/>
      <c r="U99" s="32"/>
    </row>
    <row r="100" spans="1:21" ht="42" x14ac:dyDescent="0.25">
      <c r="A100" s="44" t="s">
        <v>57</v>
      </c>
      <c r="B100" s="517" t="s">
        <v>56</v>
      </c>
      <c r="C100" s="518"/>
      <c r="D100" s="518"/>
      <c r="E100" s="518"/>
      <c r="F100" s="519"/>
      <c r="G100" s="520" t="s">
        <v>55</v>
      </c>
      <c r="H100" s="521"/>
      <c r="I100" s="521"/>
      <c r="J100" s="522"/>
      <c r="M100" s="31"/>
      <c r="N100" s="31"/>
      <c r="O100" s="32"/>
      <c r="P100" s="32"/>
      <c r="Q100" s="32"/>
      <c r="R100" s="32"/>
      <c r="S100" s="32"/>
      <c r="T100" s="32"/>
      <c r="U100" s="32"/>
    </row>
    <row r="101" spans="1:21" ht="21" customHeight="1" x14ac:dyDescent="0.25">
      <c r="A101" s="42"/>
      <c r="B101" s="523"/>
      <c r="C101" s="518"/>
      <c r="D101" s="518"/>
      <c r="E101" s="518"/>
      <c r="F101" s="519"/>
      <c r="G101" s="524" t="s">
        <v>54</v>
      </c>
      <c r="H101" s="526"/>
      <c r="I101" s="524" t="s">
        <v>53</v>
      </c>
      <c r="J101" s="525"/>
      <c r="K101" s="43"/>
      <c r="L101" s="43"/>
      <c r="M101" s="30"/>
      <c r="N101" s="30"/>
      <c r="O101" s="32"/>
      <c r="P101" s="32"/>
      <c r="Q101" s="32"/>
      <c r="R101" s="32"/>
      <c r="S101" s="39"/>
      <c r="T101" s="32"/>
    </row>
    <row r="102" spans="1:21" ht="89" x14ac:dyDescent="0.35">
      <c r="A102" s="42" t="s">
        <v>52</v>
      </c>
      <c r="B102" s="40" t="s">
        <v>51</v>
      </c>
      <c r="C102" s="40" t="s">
        <v>50</v>
      </c>
      <c r="D102" s="40" t="s">
        <v>49</v>
      </c>
      <c r="E102" s="40" t="s">
        <v>48</v>
      </c>
      <c r="F102" s="40" t="s">
        <v>47</v>
      </c>
      <c r="G102" s="41" t="s">
        <v>46</v>
      </c>
      <c r="H102" s="41" t="s">
        <v>45</v>
      </c>
      <c r="I102" s="41" t="s">
        <v>46</v>
      </c>
      <c r="J102" s="40" t="s">
        <v>45</v>
      </c>
      <c r="L102" s="43"/>
      <c r="M102" s="30"/>
      <c r="N102" s="30"/>
      <c r="O102" s="32"/>
      <c r="P102" s="32"/>
      <c r="Q102" s="32"/>
      <c r="R102" s="32"/>
      <c r="S102" s="39"/>
      <c r="T102" s="32"/>
    </row>
    <row r="103" spans="1:21" ht="28.5" customHeight="1" x14ac:dyDescent="0.25">
      <c r="A103" s="255" t="s">
        <v>44</v>
      </c>
      <c r="B103" s="37">
        <v>1.5</v>
      </c>
      <c r="C103" s="37">
        <v>0.4</v>
      </c>
      <c r="D103" s="37">
        <v>0.7</v>
      </c>
      <c r="E103" s="54">
        <v>10</v>
      </c>
      <c r="F103" s="37">
        <v>0.35</v>
      </c>
      <c r="G103" s="37" t="s">
        <v>43</v>
      </c>
      <c r="H103" s="37" t="s">
        <v>42</v>
      </c>
      <c r="I103" s="37" t="s">
        <v>41</v>
      </c>
      <c r="J103" s="37" t="s">
        <v>40</v>
      </c>
      <c r="L103" s="43"/>
      <c r="M103" s="30"/>
      <c r="N103" s="30"/>
      <c r="O103" s="32"/>
      <c r="P103" s="32"/>
      <c r="Q103" s="32"/>
      <c r="R103" s="32"/>
      <c r="S103" s="32"/>
      <c r="T103" s="32"/>
    </row>
    <row r="104" spans="1:21" x14ac:dyDescent="0.25">
      <c r="L104" s="43"/>
      <c r="M104" s="30"/>
      <c r="N104" s="30"/>
      <c r="O104" s="32"/>
      <c r="P104" s="32"/>
      <c r="Q104" s="32"/>
      <c r="R104" s="36"/>
      <c r="S104" s="36"/>
      <c r="T104" s="36"/>
    </row>
    <row r="105" spans="1:21" x14ac:dyDescent="0.25">
      <c r="M105" s="30"/>
      <c r="N105" s="30"/>
      <c r="O105" s="32"/>
      <c r="P105" s="32"/>
      <c r="Q105" s="32"/>
      <c r="R105" s="32"/>
      <c r="S105" s="32"/>
      <c r="T105" s="32"/>
    </row>
    <row r="106" spans="1:21" x14ac:dyDescent="0.25">
      <c r="M106" s="30"/>
      <c r="N106" s="30"/>
      <c r="O106" s="32"/>
      <c r="P106" s="32"/>
      <c r="Q106" s="32"/>
      <c r="R106" s="32"/>
      <c r="S106" s="32"/>
      <c r="T106" s="32"/>
    </row>
    <row r="107" spans="1:21" x14ac:dyDescent="0.25">
      <c r="M107" s="30"/>
      <c r="N107" s="30"/>
      <c r="O107" s="32"/>
      <c r="P107" s="32"/>
      <c r="Q107" s="32"/>
      <c r="R107" s="32"/>
      <c r="S107" s="32"/>
      <c r="T107" s="32"/>
    </row>
    <row r="108" spans="1:21" x14ac:dyDescent="0.25">
      <c r="M108" s="30"/>
      <c r="N108" s="30"/>
      <c r="O108" s="32"/>
      <c r="P108" s="32"/>
      <c r="Q108" s="32"/>
      <c r="R108" s="35"/>
      <c r="S108" s="35"/>
      <c r="T108" s="35"/>
    </row>
    <row r="109" spans="1:21" x14ac:dyDescent="0.25">
      <c r="M109" s="30"/>
      <c r="N109" s="30"/>
      <c r="O109" s="32"/>
      <c r="P109" s="32"/>
      <c r="Q109" s="32"/>
    </row>
    <row r="110" spans="1:21" ht="27.75" customHeight="1" x14ac:dyDescent="0.25">
      <c r="M110" s="30"/>
      <c r="N110" s="30"/>
      <c r="O110" s="32"/>
      <c r="P110" s="32"/>
      <c r="Q110" s="32"/>
    </row>
    <row r="111" spans="1:21" ht="27.75" customHeight="1" x14ac:dyDescent="0.25"/>
    <row r="112" spans="1:21" x14ac:dyDescent="0.25">
      <c r="A112" s="252" t="s">
        <v>37</v>
      </c>
    </row>
    <row r="113" spans="1:28" ht="60.75" customHeight="1" x14ac:dyDescent="0.25">
      <c r="A113" s="52" t="s">
        <v>69</v>
      </c>
      <c r="B113" s="51" t="s">
        <v>68</v>
      </c>
      <c r="C113" s="50" t="s">
        <v>67</v>
      </c>
      <c r="D113" s="50" t="s">
        <v>66</v>
      </c>
      <c r="E113" s="50" t="s">
        <v>65</v>
      </c>
      <c r="F113" s="50" t="s">
        <v>64</v>
      </c>
      <c r="G113" s="40" t="s">
        <v>77</v>
      </c>
      <c r="H113" s="50" t="s">
        <v>62</v>
      </c>
      <c r="I113" s="49" t="s">
        <v>61</v>
      </c>
      <c r="M113" s="31"/>
      <c r="N113" s="31"/>
      <c r="O113" s="32"/>
      <c r="P113" s="32"/>
      <c r="Q113" s="32"/>
      <c r="R113" s="32"/>
      <c r="S113" s="32"/>
      <c r="T113" s="32"/>
      <c r="U113" s="32"/>
    </row>
    <row r="114" spans="1:28" x14ac:dyDescent="0.25">
      <c r="A114" s="48" t="s">
        <v>76</v>
      </c>
      <c r="B114" s="47" t="s">
        <v>75</v>
      </c>
      <c r="C114" s="46">
        <v>12</v>
      </c>
      <c r="D114" s="46">
        <v>44</v>
      </c>
      <c r="E114" s="46">
        <v>12</v>
      </c>
      <c r="F114" s="46">
        <v>0.95</v>
      </c>
      <c r="G114" s="45">
        <v>2</v>
      </c>
      <c r="H114" s="45">
        <f>D114/C114</f>
        <v>3.6666666666666665</v>
      </c>
      <c r="I114" s="45" t="s">
        <v>58</v>
      </c>
      <c r="M114" s="31"/>
      <c r="N114" s="31"/>
      <c r="O114" s="32"/>
      <c r="P114" s="32"/>
      <c r="Q114" s="32"/>
      <c r="R114" s="32"/>
      <c r="S114" s="32"/>
      <c r="T114" s="32"/>
      <c r="U114" s="32"/>
    </row>
    <row r="115" spans="1:28" ht="42" x14ac:dyDescent="0.25">
      <c r="A115" s="44" t="s">
        <v>57</v>
      </c>
      <c r="B115" s="517" t="s">
        <v>56</v>
      </c>
      <c r="C115" s="518"/>
      <c r="D115" s="518"/>
      <c r="E115" s="518"/>
      <c r="F115" s="519"/>
      <c r="G115" s="520" t="s">
        <v>55</v>
      </c>
      <c r="H115" s="521"/>
      <c r="I115" s="521"/>
      <c r="J115" s="522"/>
      <c r="M115" s="31"/>
      <c r="N115" s="31"/>
      <c r="O115" s="32"/>
      <c r="P115" s="32"/>
      <c r="Q115" s="32"/>
      <c r="R115" s="32"/>
      <c r="S115" s="32"/>
      <c r="T115" s="32"/>
      <c r="U115" s="32"/>
    </row>
    <row r="116" spans="1:28" ht="21" customHeight="1" x14ac:dyDescent="0.25">
      <c r="A116" s="42"/>
      <c r="B116" s="523"/>
      <c r="C116" s="518"/>
      <c r="D116" s="518"/>
      <c r="E116" s="518"/>
      <c r="F116" s="519"/>
      <c r="G116" s="524" t="s">
        <v>54</v>
      </c>
      <c r="H116" s="526"/>
      <c r="I116" s="524" t="s">
        <v>53</v>
      </c>
      <c r="J116" s="525"/>
      <c r="K116" s="43"/>
      <c r="L116" s="43"/>
      <c r="M116" s="30"/>
      <c r="N116" s="30"/>
      <c r="O116" s="32"/>
      <c r="P116" s="32"/>
      <c r="Q116" s="32"/>
      <c r="R116" s="32"/>
      <c r="S116" s="32"/>
      <c r="T116" s="39"/>
      <c r="U116" s="32"/>
    </row>
    <row r="117" spans="1:28" ht="89" x14ac:dyDescent="0.35">
      <c r="A117" s="42" t="s">
        <v>52</v>
      </c>
      <c r="B117" s="40" t="s">
        <v>51</v>
      </c>
      <c r="C117" s="40" t="s">
        <v>50</v>
      </c>
      <c r="D117" s="40" t="s">
        <v>49</v>
      </c>
      <c r="E117" s="40" t="s">
        <v>48</v>
      </c>
      <c r="F117" s="40" t="s">
        <v>47</v>
      </c>
      <c r="G117" s="41" t="s">
        <v>46</v>
      </c>
      <c r="H117" s="41" t="s">
        <v>45</v>
      </c>
      <c r="I117" s="41" t="s">
        <v>46</v>
      </c>
      <c r="J117" s="40" t="s">
        <v>45</v>
      </c>
      <c r="K117" s="43"/>
      <c r="L117" s="43"/>
      <c r="M117" s="30"/>
      <c r="R117" s="32"/>
      <c r="S117" s="39"/>
      <c r="T117" s="32"/>
    </row>
    <row r="118" spans="1:28" ht="27" customHeight="1" x14ac:dyDescent="0.25">
      <c r="A118" s="255" t="s">
        <v>74</v>
      </c>
      <c r="B118" s="37">
        <v>2</v>
      </c>
      <c r="C118" s="37">
        <v>0.4</v>
      </c>
      <c r="D118" s="37">
        <v>0.7</v>
      </c>
      <c r="E118" s="54">
        <v>10</v>
      </c>
      <c r="F118" s="37">
        <v>0.35</v>
      </c>
      <c r="G118" s="37" t="s">
        <v>73</v>
      </c>
      <c r="H118" s="37" t="s">
        <v>72</v>
      </c>
      <c r="I118" s="37" t="s">
        <v>71</v>
      </c>
      <c r="J118" s="37" t="s">
        <v>70</v>
      </c>
      <c r="K118" s="43"/>
      <c r="L118" s="43"/>
      <c r="M118" s="30"/>
      <c r="R118" s="32"/>
      <c r="S118" s="32"/>
      <c r="T118" s="32"/>
    </row>
    <row r="119" spans="1:28" x14ac:dyDescent="0.25">
      <c r="K119" s="43"/>
      <c r="L119" s="43"/>
      <c r="M119" s="30"/>
      <c r="R119" s="36"/>
      <c r="S119" s="36"/>
      <c r="T119" s="36"/>
    </row>
    <row r="120" spans="1:28" x14ac:dyDescent="0.25">
      <c r="K120" s="43"/>
      <c r="L120" s="43"/>
      <c r="M120" s="30"/>
      <c r="R120" s="32"/>
      <c r="S120" s="32"/>
      <c r="T120" s="32"/>
    </row>
    <row r="121" spans="1:28" x14ac:dyDescent="0.25">
      <c r="K121" s="43"/>
      <c r="L121" s="43"/>
      <c r="M121" s="30"/>
      <c r="R121" s="32"/>
      <c r="S121" s="32"/>
      <c r="T121" s="32"/>
    </row>
    <row r="122" spans="1:28" x14ac:dyDescent="0.25">
      <c r="R122" s="32"/>
      <c r="S122" s="32"/>
      <c r="T122" s="32"/>
    </row>
    <row r="123" spans="1:28" x14ac:dyDescent="0.25">
      <c r="R123" s="35"/>
      <c r="S123" s="35"/>
      <c r="T123" s="35"/>
    </row>
    <row r="125" spans="1:28" x14ac:dyDescent="0.25">
      <c r="AB125" s="53"/>
    </row>
    <row r="127" spans="1:28" x14ac:dyDescent="0.25">
      <c r="A127" s="252" t="s">
        <v>38</v>
      </c>
    </row>
    <row r="128" spans="1:28" ht="60.75" customHeight="1" x14ac:dyDescent="0.25">
      <c r="A128" s="52" t="s">
        <v>69</v>
      </c>
      <c r="B128" s="51" t="s">
        <v>68</v>
      </c>
      <c r="C128" s="50" t="s">
        <v>67</v>
      </c>
      <c r="D128" s="50" t="s">
        <v>66</v>
      </c>
      <c r="E128" s="50" t="s">
        <v>65</v>
      </c>
      <c r="F128" s="50" t="s">
        <v>64</v>
      </c>
      <c r="G128" s="50" t="s">
        <v>63</v>
      </c>
      <c r="H128" s="50" t="s">
        <v>62</v>
      </c>
      <c r="I128" s="49" t="s">
        <v>61</v>
      </c>
      <c r="M128" s="31"/>
      <c r="N128" s="31"/>
      <c r="O128" s="32"/>
      <c r="P128" s="32"/>
      <c r="Q128" s="32"/>
      <c r="R128" s="32"/>
      <c r="S128" s="32"/>
      <c r="T128" s="32"/>
      <c r="U128" s="32"/>
    </row>
    <row r="129" spans="1:38" x14ac:dyDescent="0.25">
      <c r="A129" s="48" t="s">
        <v>60</v>
      </c>
      <c r="B129" s="47" t="s">
        <v>59</v>
      </c>
      <c r="C129" s="46">
        <v>4</v>
      </c>
      <c r="D129" s="46">
        <v>37</v>
      </c>
      <c r="E129" s="46">
        <v>10</v>
      </c>
      <c r="F129" s="46">
        <v>-2.1</v>
      </c>
      <c r="G129" s="38">
        <v>0</v>
      </c>
      <c r="H129" s="45">
        <v>3.7</v>
      </c>
      <c r="I129" s="45" t="s">
        <v>58</v>
      </c>
      <c r="M129" s="31"/>
      <c r="N129" s="31"/>
      <c r="O129" s="32"/>
      <c r="P129" s="32"/>
      <c r="Q129" s="32"/>
      <c r="R129" s="32"/>
      <c r="S129" s="32"/>
      <c r="T129" s="32"/>
      <c r="U129" s="32"/>
    </row>
    <row r="130" spans="1:38" ht="42" x14ac:dyDescent="0.25">
      <c r="A130" s="44" t="s">
        <v>57</v>
      </c>
      <c r="B130" s="517" t="s">
        <v>56</v>
      </c>
      <c r="C130" s="518"/>
      <c r="D130" s="518"/>
      <c r="E130" s="518"/>
      <c r="F130" s="519"/>
      <c r="G130" s="520" t="s">
        <v>55</v>
      </c>
      <c r="H130" s="521"/>
      <c r="I130" s="521"/>
      <c r="J130" s="522"/>
      <c r="M130" s="31"/>
      <c r="N130" s="31"/>
      <c r="O130" s="32"/>
      <c r="P130" s="32"/>
      <c r="Q130" s="32"/>
      <c r="R130" s="32"/>
      <c r="S130" s="32"/>
      <c r="T130" s="32"/>
      <c r="U130" s="32"/>
    </row>
    <row r="131" spans="1:38" ht="21" customHeight="1" x14ac:dyDescent="0.25">
      <c r="A131" s="42"/>
      <c r="B131" s="523"/>
      <c r="C131" s="518"/>
      <c r="D131" s="518"/>
      <c r="E131" s="518"/>
      <c r="F131" s="519"/>
      <c r="G131" s="524" t="s">
        <v>54</v>
      </c>
      <c r="H131" s="526"/>
      <c r="I131" s="524" t="s">
        <v>53</v>
      </c>
      <c r="J131" s="525"/>
      <c r="K131" s="43"/>
      <c r="L131" s="43"/>
      <c r="M131" s="30"/>
      <c r="N131" s="30"/>
      <c r="O131" s="32"/>
      <c r="P131" s="32"/>
      <c r="Q131" s="32"/>
      <c r="R131" s="32"/>
      <c r="S131" s="32"/>
      <c r="T131" s="39"/>
      <c r="U131" s="32"/>
    </row>
    <row r="132" spans="1:38" ht="89" x14ac:dyDescent="0.35">
      <c r="A132" s="42" t="s">
        <v>52</v>
      </c>
      <c r="B132" s="40" t="s">
        <v>51</v>
      </c>
      <c r="C132" s="40" t="s">
        <v>50</v>
      </c>
      <c r="D132" s="40" t="s">
        <v>49</v>
      </c>
      <c r="E132" s="40" t="s">
        <v>48</v>
      </c>
      <c r="F132" s="40" t="s">
        <v>47</v>
      </c>
      <c r="G132" s="41" t="s">
        <v>46</v>
      </c>
      <c r="H132" s="41" t="s">
        <v>45</v>
      </c>
      <c r="I132" s="41" t="s">
        <v>46</v>
      </c>
      <c r="J132" s="40" t="s">
        <v>45</v>
      </c>
      <c r="R132" s="32"/>
      <c r="S132" s="39"/>
      <c r="T132" s="32"/>
    </row>
    <row r="133" spans="1:38" ht="27.75" customHeight="1" x14ac:dyDescent="0.25">
      <c r="A133" s="255" t="s">
        <v>44</v>
      </c>
      <c r="B133" s="37">
        <v>1.5</v>
      </c>
      <c r="C133" s="37">
        <v>0.4</v>
      </c>
      <c r="D133" s="37">
        <v>0.7</v>
      </c>
      <c r="E133" s="38">
        <v>10</v>
      </c>
      <c r="F133" s="37">
        <v>0.35</v>
      </c>
      <c r="G133" s="37" t="s">
        <v>43</v>
      </c>
      <c r="H133" s="37" t="s">
        <v>42</v>
      </c>
      <c r="I133" s="37" t="s">
        <v>41</v>
      </c>
      <c r="J133" s="37" t="s">
        <v>40</v>
      </c>
      <c r="R133" s="32"/>
      <c r="S133" s="32"/>
      <c r="T133" s="32"/>
    </row>
    <row r="134" spans="1:38" x14ac:dyDescent="0.25">
      <c r="M134" s="32"/>
      <c r="R134" s="36"/>
      <c r="S134" s="36"/>
      <c r="T134" s="36"/>
    </row>
    <row r="135" spans="1:38" x14ac:dyDescent="0.25">
      <c r="M135" s="32"/>
      <c r="R135" s="32"/>
      <c r="S135" s="32"/>
      <c r="T135" s="32"/>
    </row>
    <row r="136" spans="1:38" x14ac:dyDescent="0.25">
      <c r="M136" s="32"/>
      <c r="R136" s="32"/>
      <c r="S136" s="32"/>
      <c r="T136" s="32"/>
    </row>
    <row r="137" spans="1:38" x14ac:dyDescent="0.25">
      <c r="M137" s="32"/>
      <c r="R137" s="32"/>
      <c r="S137" s="32"/>
      <c r="T137" s="32"/>
    </row>
    <row r="138" spans="1:38" x14ac:dyDescent="0.25">
      <c r="M138" s="32"/>
      <c r="R138" s="35"/>
      <c r="S138" s="35"/>
      <c r="T138" s="35"/>
    </row>
    <row r="139" spans="1:38" x14ac:dyDescent="0.25">
      <c r="M139" s="32"/>
    </row>
    <row r="140" spans="1:38" ht="27.75" customHeight="1" x14ac:dyDescent="0.25"/>
    <row r="141" spans="1:38" x14ac:dyDescent="0.25">
      <c r="N141" s="31"/>
    </row>
    <row r="142" spans="1:38" x14ac:dyDescent="0.25">
      <c r="N142" s="31"/>
    </row>
    <row r="143" spans="1:38" x14ac:dyDescent="0.25">
      <c r="N143" s="31"/>
    </row>
    <row r="144" spans="1:38" x14ac:dyDescent="0.25">
      <c r="A144" s="34"/>
      <c r="B144" s="34" t="s">
        <v>39</v>
      </c>
      <c r="C144" s="34"/>
      <c r="D144" s="34"/>
      <c r="E144" s="34"/>
      <c r="F144" s="34"/>
      <c r="G144" s="34"/>
      <c r="H144" s="34"/>
      <c r="I144" s="34"/>
      <c r="J144" s="33"/>
      <c r="K144" s="33"/>
      <c r="L144" s="32"/>
      <c r="M144" s="32"/>
      <c r="N144" s="31"/>
      <c r="O144" s="30"/>
      <c r="P144" s="30"/>
      <c r="Q144" s="30"/>
      <c r="R144" s="29"/>
      <c r="S144" s="29"/>
      <c r="T144" s="29"/>
      <c r="U144" s="29"/>
      <c r="V144" s="29"/>
      <c r="W144" s="29"/>
      <c r="X144" s="29"/>
      <c r="Y144" s="29"/>
      <c r="Z144" s="29"/>
      <c r="AA144" s="29"/>
      <c r="AB144" s="29"/>
      <c r="AC144" s="29"/>
      <c r="AD144" s="29"/>
      <c r="AE144" s="29"/>
      <c r="AF144" s="29"/>
      <c r="AG144" s="29"/>
      <c r="AH144" s="29"/>
      <c r="AI144" s="29"/>
      <c r="AJ144" s="29"/>
      <c r="AK144" s="29"/>
      <c r="AL144" s="29"/>
    </row>
  </sheetData>
  <mergeCells count="50">
    <mergeCell ref="G116:H116"/>
    <mergeCell ref="G131:H131"/>
    <mergeCell ref="B130:F130"/>
    <mergeCell ref="G130:J130"/>
    <mergeCell ref="B116:F116"/>
    <mergeCell ref="I116:J116"/>
    <mergeCell ref="B131:F131"/>
    <mergeCell ref="I131:J131"/>
    <mergeCell ref="I62:J62"/>
    <mergeCell ref="G62:H62"/>
    <mergeCell ref="B100:F100"/>
    <mergeCell ref="G100:J100"/>
    <mergeCell ref="B89:F89"/>
    <mergeCell ref="I89:J89"/>
    <mergeCell ref="B88:F88"/>
    <mergeCell ref="B75:F75"/>
    <mergeCell ref="I75:J75"/>
    <mergeCell ref="G75:H75"/>
    <mergeCell ref="G89:H89"/>
    <mergeCell ref="B7:F7"/>
    <mergeCell ref="B21:F21"/>
    <mergeCell ref="I21:J21"/>
    <mergeCell ref="B34:F34"/>
    <mergeCell ref="I34:J34"/>
    <mergeCell ref="B8:F8"/>
    <mergeCell ref="B20:F20"/>
    <mergeCell ref="B33:F33"/>
    <mergeCell ref="G8:H8"/>
    <mergeCell ref="I8:J8"/>
    <mergeCell ref="G7:J7"/>
    <mergeCell ref="G21:H21"/>
    <mergeCell ref="G34:H34"/>
    <mergeCell ref="G20:J20"/>
    <mergeCell ref="G33:J33"/>
    <mergeCell ref="B115:F115"/>
    <mergeCell ref="G115:J115"/>
    <mergeCell ref="B47:F47"/>
    <mergeCell ref="B61:F61"/>
    <mergeCell ref="B101:F101"/>
    <mergeCell ref="I101:J101"/>
    <mergeCell ref="B48:F48"/>
    <mergeCell ref="I48:J48"/>
    <mergeCell ref="G48:H48"/>
    <mergeCell ref="G47:J47"/>
    <mergeCell ref="G101:H101"/>
    <mergeCell ref="B74:F74"/>
    <mergeCell ref="G61:J61"/>
    <mergeCell ref="G74:J74"/>
    <mergeCell ref="G88:J88"/>
    <mergeCell ref="B62:F62"/>
  </mergeCells>
  <pageMargins left="0" right="0" top="0" bottom="0" header="0" footer="0"/>
  <pageSetup paperSize="9" scale="2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A2" sqref="A2:A3"/>
    </sheetView>
  </sheetViews>
  <sheetFormatPr baseColWidth="10" defaultColWidth="8.83203125" defaultRowHeight="15" x14ac:dyDescent="0.2"/>
  <cols>
    <col min="1" max="1" width="12.6640625" bestFit="1" customWidth="1"/>
    <col min="3" max="3" width="15.1640625" bestFit="1" customWidth="1"/>
  </cols>
  <sheetData>
    <row r="1" spans="1:3" x14ac:dyDescent="0.2">
      <c r="A1" s="72" t="s">
        <v>122</v>
      </c>
      <c r="C1" s="72" t="s">
        <v>143</v>
      </c>
    </row>
    <row r="2" spans="1:3" x14ac:dyDescent="0.2">
      <c r="A2" s="85" t="s">
        <v>118</v>
      </c>
      <c r="C2" t="s">
        <v>142</v>
      </c>
    </row>
    <row r="3" spans="1:3" x14ac:dyDescent="0.2">
      <c r="A3" s="85" t="s">
        <v>119</v>
      </c>
      <c r="C3" t="s">
        <v>139</v>
      </c>
    </row>
    <row r="4" spans="1:3" x14ac:dyDescent="0.2">
      <c r="C4" t="s">
        <v>140</v>
      </c>
    </row>
    <row r="5" spans="1:3" x14ac:dyDescent="0.2">
      <c r="C5"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9</vt:i4>
      </vt:variant>
    </vt:vector>
  </HeadingPairs>
  <TitlesOfParts>
    <vt:vector size="9" baseType="lpstr">
      <vt:lpstr>Guida al modello</vt:lpstr>
      <vt:lpstr>Autofinanziamento</vt:lpstr>
      <vt:lpstr>Project Financing</vt:lpstr>
      <vt:lpstr>CONSIP</vt:lpstr>
      <vt:lpstr>PPP</vt:lpstr>
      <vt:lpstr>Prezzi smart adaptive lighting</vt:lpstr>
      <vt:lpstr>Prezzi servizi "smart"</vt:lpstr>
      <vt:lpstr>Dettaglio strade (ENEA)</vt:lpstr>
      <vt:lpstr>Foglio 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dc:creator>
  <cp:lastModifiedBy>Simone Franzò</cp:lastModifiedBy>
  <dcterms:created xsi:type="dcterms:W3CDTF">2017-05-20T10:01:32Z</dcterms:created>
  <dcterms:modified xsi:type="dcterms:W3CDTF">2017-09-15T15:41:15Z</dcterms:modified>
</cp:coreProperties>
</file>