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autoCompressPictures="0"/>
  <bookViews>
    <workbookView xWindow="4455" yWindow="120" windowWidth="29040" windowHeight="11445" tabRatio="747"/>
  </bookViews>
  <sheets>
    <sheet name="calcolo" sheetId="1" r:id="rId1"/>
    <sheet name="dati normativa" sheetId="34" r:id="rId2"/>
    <sheet name="risultati prove" sheetId="36" r:id="rId3"/>
    <sheet name="risultati intermedi" sheetId="37" r:id="rId4"/>
  </sheets>
  <definedNames>
    <definedName name="Città">'dati normativa'!$B$4:$B$8</definedName>
    <definedName name="province">'dati normativa'!$B$4:$B$104</definedName>
    <definedName name="riflettanza">'dati normativa'!$DH$2:$DH$16</definedName>
    <definedName name="Superfici">'dati normativa'!$DH$2:$DL$16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19" i="1" l="1"/>
  <c r="AB19" i="1"/>
  <c r="AC19" i="1"/>
  <c r="G19" i="1"/>
  <c r="E81" i="34"/>
  <c r="E40" i="34"/>
  <c r="G4" i="1"/>
  <c r="L19" i="1"/>
  <c r="N19" i="1"/>
  <c r="M19" i="1"/>
  <c r="H19" i="1"/>
  <c r="AD19" i="1"/>
  <c r="AE19" i="1"/>
  <c r="I19" i="1"/>
  <c r="K19" i="1"/>
  <c r="J19" i="1"/>
  <c r="O19" i="1"/>
  <c r="Q19" i="1"/>
  <c r="S19" i="1"/>
  <c r="P19" i="1"/>
  <c r="R19" i="1"/>
  <c r="Y19" i="1"/>
  <c r="X19" i="1"/>
  <c r="Z19" i="1"/>
  <c r="F11" i="1"/>
  <c r="AF19" i="1"/>
  <c r="AG19" i="1"/>
  <c r="AH19" i="1"/>
  <c r="AI19" i="1"/>
  <c r="AX19" i="1"/>
  <c r="AA20" i="1"/>
  <c r="AB20" i="1"/>
  <c r="AC20" i="1"/>
  <c r="G20" i="1"/>
  <c r="L20" i="1"/>
  <c r="N20" i="1"/>
  <c r="M20" i="1"/>
  <c r="H20" i="1"/>
  <c r="AD20" i="1"/>
  <c r="AE20" i="1"/>
  <c r="I20" i="1"/>
  <c r="K20" i="1"/>
  <c r="J20" i="1"/>
  <c r="O20" i="1"/>
  <c r="Q20" i="1"/>
  <c r="S20" i="1"/>
  <c r="P20" i="1"/>
  <c r="R20" i="1"/>
  <c r="Y20" i="1"/>
  <c r="X20" i="1"/>
  <c r="Z20" i="1"/>
  <c r="AF20" i="1"/>
  <c r="AG20" i="1"/>
  <c r="AH20" i="1"/>
  <c r="AI20" i="1"/>
  <c r="AX20" i="1"/>
  <c r="AA21" i="1"/>
  <c r="AB21" i="1"/>
  <c r="AC21" i="1"/>
  <c r="G21" i="1"/>
  <c r="L21" i="1"/>
  <c r="N21" i="1"/>
  <c r="M21" i="1"/>
  <c r="H21" i="1"/>
  <c r="AD21" i="1"/>
  <c r="AE21" i="1"/>
  <c r="I21" i="1"/>
  <c r="K21" i="1"/>
  <c r="J21" i="1"/>
  <c r="O21" i="1"/>
  <c r="Q21" i="1"/>
  <c r="S21" i="1"/>
  <c r="P21" i="1"/>
  <c r="R21" i="1"/>
  <c r="Y21" i="1"/>
  <c r="X21" i="1"/>
  <c r="Z21" i="1"/>
  <c r="AF21" i="1"/>
  <c r="AG21" i="1"/>
  <c r="AH21" i="1"/>
  <c r="AI21" i="1"/>
  <c r="AX21" i="1"/>
  <c r="AA22" i="1"/>
  <c r="AB22" i="1"/>
  <c r="AC22" i="1"/>
  <c r="G22" i="1"/>
  <c r="L22" i="1"/>
  <c r="N22" i="1"/>
  <c r="M22" i="1"/>
  <c r="H22" i="1"/>
  <c r="AD22" i="1"/>
  <c r="AE22" i="1"/>
  <c r="I22" i="1"/>
  <c r="K22" i="1"/>
  <c r="J22" i="1"/>
  <c r="O22" i="1"/>
  <c r="Q22" i="1"/>
  <c r="S22" i="1"/>
  <c r="P22" i="1"/>
  <c r="R22" i="1"/>
  <c r="Y22" i="1"/>
  <c r="X22" i="1"/>
  <c r="Z22" i="1"/>
  <c r="AF22" i="1"/>
  <c r="AG22" i="1"/>
  <c r="AH22" i="1"/>
  <c r="AI22" i="1"/>
  <c r="AX22" i="1"/>
  <c r="AA23" i="1"/>
  <c r="AB23" i="1"/>
  <c r="AC23" i="1"/>
  <c r="G23" i="1"/>
  <c r="L23" i="1"/>
  <c r="N23" i="1"/>
  <c r="M23" i="1"/>
  <c r="H23" i="1"/>
  <c r="AD23" i="1"/>
  <c r="AE23" i="1"/>
  <c r="I23" i="1"/>
  <c r="K23" i="1"/>
  <c r="J23" i="1"/>
  <c r="O23" i="1"/>
  <c r="Q23" i="1"/>
  <c r="S23" i="1"/>
  <c r="P23" i="1"/>
  <c r="R23" i="1"/>
  <c r="Y23" i="1"/>
  <c r="X23" i="1"/>
  <c r="Z23" i="1"/>
  <c r="AF23" i="1"/>
  <c r="AG23" i="1"/>
  <c r="AH23" i="1"/>
  <c r="AI23" i="1"/>
  <c r="AX23" i="1"/>
  <c r="AA24" i="1"/>
  <c r="AB24" i="1"/>
  <c r="AC24" i="1"/>
  <c r="G24" i="1"/>
  <c r="L24" i="1"/>
  <c r="N24" i="1"/>
  <c r="M24" i="1"/>
  <c r="H24" i="1"/>
  <c r="AD24" i="1"/>
  <c r="AE24" i="1"/>
  <c r="I24" i="1"/>
  <c r="K24" i="1"/>
  <c r="J24" i="1"/>
  <c r="O24" i="1"/>
  <c r="Q24" i="1"/>
  <c r="S24" i="1"/>
  <c r="P24" i="1"/>
  <c r="R24" i="1"/>
  <c r="Y24" i="1"/>
  <c r="X24" i="1"/>
  <c r="Z24" i="1"/>
  <c r="AF24" i="1"/>
  <c r="AG24" i="1"/>
  <c r="AH24" i="1"/>
  <c r="AI24" i="1"/>
  <c r="AX24" i="1"/>
  <c r="AA25" i="1"/>
  <c r="AB25" i="1"/>
  <c r="AC25" i="1"/>
  <c r="G25" i="1"/>
  <c r="L25" i="1"/>
  <c r="N25" i="1"/>
  <c r="M25" i="1"/>
  <c r="H25" i="1"/>
  <c r="AD25" i="1"/>
  <c r="AE25" i="1"/>
  <c r="I25" i="1"/>
  <c r="K25" i="1"/>
  <c r="J25" i="1"/>
  <c r="O25" i="1"/>
  <c r="Q25" i="1"/>
  <c r="S25" i="1"/>
  <c r="P25" i="1"/>
  <c r="R25" i="1"/>
  <c r="Y25" i="1"/>
  <c r="X25" i="1"/>
  <c r="Z25" i="1"/>
  <c r="AF25" i="1"/>
  <c r="AG25" i="1"/>
  <c r="AH25" i="1"/>
  <c r="AI25" i="1"/>
  <c r="AX25" i="1"/>
  <c r="AA26" i="1"/>
  <c r="AB26" i="1"/>
  <c r="AC26" i="1"/>
  <c r="G26" i="1"/>
  <c r="L26" i="1"/>
  <c r="N26" i="1"/>
  <c r="M26" i="1"/>
  <c r="H26" i="1"/>
  <c r="AD26" i="1"/>
  <c r="AE26" i="1"/>
  <c r="I26" i="1"/>
  <c r="K26" i="1"/>
  <c r="J26" i="1"/>
  <c r="O26" i="1"/>
  <c r="Q26" i="1"/>
  <c r="S26" i="1"/>
  <c r="P26" i="1"/>
  <c r="R26" i="1"/>
  <c r="Y26" i="1"/>
  <c r="X26" i="1"/>
  <c r="Z26" i="1"/>
  <c r="AF26" i="1"/>
  <c r="AG26" i="1"/>
  <c r="AH26" i="1"/>
  <c r="AI26" i="1"/>
  <c r="AX26" i="1"/>
  <c r="AA27" i="1"/>
  <c r="AB27" i="1"/>
  <c r="AC27" i="1"/>
  <c r="G27" i="1"/>
  <c r="L27" i="1"/>
  <c r="N27" i="1"/>
  <c r="M27" i="1"/>
  <c r="H27" i="1"/>
  <c r="AD27" i="1"/>
  <c r="AE27" i="1"/>
  <c r="I27" i="1"/>
  <c r="K27" i="1"/>
  <c r="J27" i="1"/>
  <c r="O27" i="1"/>
  <c r="Q27" i="1"/>
  <c r="S27" i="1"/>
  <c r="P27" i="1"/>
  <c r="R27" i="1"/>
  <c r="Y27" i="1"/>
  <c r="X27" i="1"/>
  <c r="Z27" i="1"/>
  <c r="AF27" i="1"/>
  <c r="AG27" i="1"/>
  <c r="AH27" i="1"/>
  <c r="AI27" i="1"/>
  <c r="AX27" i="1"/>
  <c r="AA28" i="1"/>
  <c r="AB28" i="1"/>
  <c r="AC28" i="1"/>
  <c r="G28" i="1"/>
  <c r="L28" i="1"/>
  <c r="N28" i="1"/>
  <c r="M28" i="1"/>
  <c r="H28" i="1"/>
  <c r="AD28" i="1"/>
  <c r="AE28" i="1"/>
  <c r="I28" i="1"/>
  <c r="K28" i="1"/>
  <c r="J28" i="1"/>
  <c r="O28" i="1"/>
  <c r="Q28" i="1"/>
  <c r="S28" i="1"/>
  <c r="P28" i="1"/>
  <c r="R28" i="1"/>
  <c r="Y28" i="1"/>
  <c r="X28" i="1"/>
  <c r="Z28" i="1"/>
  <c r="AF28" i="1"/>
  <c r="AG28" i="1"/>
  <c r="AH28" i="1"/>
  <c r="AI28" i="1"/>
  <c r="AX28" i="1"/>
  <c r="AA29" i="1"/>
  <c r="AB29" i="1"/>
  <c r="AC29" i="1"/>
  <c r="G29" i="1"/>
  <c r="L29" i="1"/>
  <c r="N29" i="1"/>
  <c r="M29" i="1"/>
  <c r="H29" i="1"/>
  <c r="AD29" i="1"/>
  <c r="AE29" i="1"/>
  <c r="I29" i="1"/>
  <c r="K29" i="1"/>
  <c r="J29" i="1"/>
  <c r="O29" i="1"/>
  <c r="Q29" i="1"/>
  <c r="S29" i="1"/>
  <c r="P29" i="1"/>
  <c r="R29" i="1"/>
  <c r="Y29" i="1"/>
  <c r="X29" i="1"/>
  <c r="Z29" i="1"/>
  <c r="AF29" i="1"/>
  <c r="AG29" i="1"/>
  <c r="AH29" i="1"/>
  <c r="AI29" i="1"/>
  <c r="AX29" i="1"/>
  <c r="AA30" i="1"/>
  <c r="AB30" i="1"/>
  <c r="AC30" i="1"/>
  <c r="G30" i="1"/>
  <c r="L30" i="1"/>
  <c r="N30" i="1"/>
  <c r="M30" i="1"/>
  <c r="H30" i="1"/>
  <c r="AD30" i="1"/>
  <c r="AE30" i="1"/>
  <c r="I30" i="1"/>
  <c r="K30" i="1"/>
  <c r="J30" i="1"/>
  <c r="O30" i="1"/>
  <c r="Q30" i="1"/>
  <c r="S30" i="1"/>
  <c r="P30" i="1"/>
  <c r="R30" i="1"/>
  <c r="Y30" i="1"/>
  <c r="X30" i="1"/>
  <c r="Z30" i="1"/>
  <c r="AF30" i="1"/>
  <c r="AG30" i="1"/>
  <c r="AH30" i="1"/>
  <c r="AI30" i="1"/>
  <c r="AX30" i="1"/>
  <c r="AX31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T4" i="36"/>
  <c r="U4" i="36"/>
  <c r="V4" i="36"/>
  <c r="W4" i="36"/>
  <c r="X4" i="36"/>
  <c r="Z4" i="36"/>
  <c r="Y4" i="36"/>
  <c r="AA4" i="36"/>
  <c r="AB4" i="36"/>
  <c r="AC4" i="36"/>
  <c r="T5" i="36"/>
  <c r="U5" i="36"/>
  <c r="V5" i="36"/>
  <c r="W5" i="36"/>
  <c r="X5" i="36"/>
  <c r="Y5" i="36"/>
  <c r="AA5" i="36"/>
  <c r="AB5" i="36"/>
  <c r="AC5" i="36"/>
  <c r="T6" i="36"/>
  <c r="U6" i="36"/>
  <c r="V6" i="36"/>
  <c r="W6" i="36"/>
  <c r="X6" i="36"/>
  <c r="Z6" i="36"/>
  <c r="Y6" i="36"/>
  <c r="AA6" i="36"/>
  <c r="AB6" i="36"/>
  <c r="AC6" i="36"/>
  <c r="T7" i="36"/>
  <c r="U7" i="36"/>
  <c r="V7" i="36"/>
  <c r="W7" i="36"/>
  <c r="X7" i="36"/>
  <c r="Y7" i="36"/>
  <c r="AA7" i="36"/>
  <c r="AB7" i="36"/>
  <c r="AC7" i="36"/>
  <c r="T8" i="36"/>
  <c r="U8" i="36"/>
  <c r="V8" i="36"/>
  <c r="W8" i="36"/>
  <c r="X8" i="36"/>
  <c r="Y8" i="36"/>
  <c r="AA8" i="36"/>
  <c r="AB8" i="36"/>
  <c r="AC8" i="36"/>
  <c r="T9" i="36"/>
  <c r="U9" i="36"/>
  <c r="V9" i="36"/>
  <c r="W9" i="36"/>
  <c r="X9" i="36"/>
  <c r="Y9" i="36"/>
  <c r="AA9" i="36"/>
  <c r="AB9" i="36"/>
  <c r="AC9" i="36"/>
  <c r="T10" i="36"/>
  <c r="U10" i="36"/>
  <c r="V10" i="36"/>
  <c r="W10" i="36"/>
  <c r="X10" i="36"/>
  <c r="Z10" i="36"/>
  <c r="Y10" i="36"/>
  <c r="AA10" i="36"/>
  <c r="AB10" i="36"/>
  <c r="AC10" i="36"/>
  <c r="T11" i="36"/>
  <c r="U11" i="36"/>
  <c r="V11" i="36"/>
  <c r="W11" i="36"/>
  <c r="X11" i="36"/>
  <c r="Y11" i="36"/>
  <c r="AA11" i="36"/>
  <c r="AB11" i="36"/>
  <c r="AC11" i="36"/>
  <c r="T12" i="36"/>
  <c r="U12" i="36"/>
  <c r="V12" i="36"/>
  <c r="W12" i="36"/>
  <c r="X12" i="36"/>
  <c r="Z12" i="36"/>
  <c r="Y12" i="36"/>
  <c r="AA12" i="36"/>
  <c r="AB12" i="36"/>
  <c r="AC12" i="36"/>
  <c r="T13" i="36"/>
  <c r="U13" i="36"/>
  <c r="V13" i="36"/>
  <c r="W13" i="36"/>
  <c r="X13" i="36"/>
  <c r="Y13" i="36"/>
  <c r="AA13" i="36"/>
  <c r="AB13" i="36"/>
  <c r="AC13" i="36"/>
  <c r="T14" i="36"/>
  <c r="U14" i="36"/>
  <c r="V14" i="36"/>
  <c r="W14" i="36"/>
  <c r="X14" i="36"/>
  <c r="Z14" i="36"/>
  <c r="Y14" i="36"/>
  <c r="AA14" i="36"/>
  <c r="AB14" i="36"/>
  <c r="AC14" i="36"/>
  <c r="T15" i="36"/>
  <c r="U15" i="36"/>
  <c r="V15" i="36"/>
  <c r="W15" i="36"/>
  <c r="X15" i="36"/>
  <c r="Y15" i="36"/>
  <c r="AA15" i="36"/>
  <c r="AB15" i="36"/>
  <c r="AC15" i="36"/>
  <c r="T16" i="36"/>
  <c r="U16" i="36"/>
  <c r="V16" i="36"/>
  <c r="W16" i="36"/>
  <c r="X16" i="36"/>
  <c r="Z16" i="36"/>
  <c r="Y16" i="36"/>
  <c r="AA16" i="36"/>
  <c r="AB16" i="36"/>
  <c r="AC16" i="36"/>
  <c r="T17" i="36"/>
  <c r="U17" i="36"/>
  <c r="V17" i="36"/>
  <c r="W17" i="36"/>
  <c r="X17" i="36"/>
  <c r="Y17" i="36"/>
  <c r="AA17" i="36"/>
  <c r="AB17" i="36"/>
  <c r="AC17" i="36"/>
  <c r="T18" i="36"/>
  <c r="U18" i="36"/>
  <c r="V18" i="36"/>
  <c r="W18" i="36"/>
  <c r="X18" i="36"/>
  <c r="Z18" i="36"/>
  <c r="Y18" i="36"/>
  <c r="AA18" i="36"/>
  <c r="AB18" i="36"/>
  <c r="AC18" i="36"/>
  <c r="T19" i="36"/>
  <c r="U19" i="36"/>
  <c r="V19" i="36"/>
  <c r="W19" i="36"/>
  <c r="X19" i="36"/>
  <c r="Y19" i="36"/>
  <c r="AA19" i="36"/>
  <c r="AB19" i="36"/>
  <c r="AC19" i="36"/>
  <c r="T20" i="36"/>
  <c r="U20" i="36"/>
  <c r="V20" i="36"/>
  <c r="W20" i="36"/>
  <c r="X20" i="36"/>
  <c r="Z20" i="36"/>
  <c r="Y20" i="36"/>
  <c r="AA20" i="36"/>
  <c r="AB20" i="36"/>
  <c r="AC20" i="36"/>
  <c r="T21" i="36"/>
  <c r="U21" i="36"/>
  <c r="V21" i="36"/>
  <c r="W21" i="36"/>
  <c r="X21" i="36"/>
  <c r="Y21" i="36"/>
  <c r="AA21" i="36"/>
  <c r="AB21" i="36"/>
  <c r="AC21" i="36"/>
  <c r="T22" i="36"/>
  <c r="U22" i="36"/>
  <c r="V22" i="36"/>
  <c r="W22" i="36"/>
  <c r="X22" i="36"/>
  <c r="Z22" i="36"/>
  <c r="Y22" i="36"/>
  <c r="AA22" i="36"/>
  <c r="AB22" i="36"/>
  <c r="AC22" i="36"/>
  <c r="T23" i="36"/>
  <c r="U23" i="36"/>
  <c r="V23" i="36"/>
  <c r="W23" i="36"/>
  <c r="X23" i="36"/>
  <c r="Y23" i="36"/>
  <c r="AA23" i="36"/>
  <c r="AB23" i="36"/>
  <c r="AC23" i="36"/>
  <c r="T24" i="36"/>
  <c r="U24" i="36"/>
  <c r="V24" i="36"/>
  <c r="W24" i="36"/>
  <c r="X24" i="36"/>
  <c r="Z24" i="36"/>
  <c r="Y24" i="36"/>
  <c r="AA24" i="36"/>
  <c r="AB24" i="36"/>
  <c r="AC24" i="36"/>
  <c r="T25" i="36"/>
  <c r="U25" i="36"/>
  <c r="V25" i="36"/>
  <c r="W25" i="36"/>
  <c r="X25" i="36"/>
  <c r="Y25" i="36"/>
  <c r="AA25" i="36"/>
  <c r="AB25" i="36"/>
  <c r="AC25" i="36"/>
  <c r="T26" i="36"/>
  <c r="U26" i="36"/>
  <c r="V26" i="36"/>
  <c r="W26" i="36"/>
  <c r="X26" i="36"/>
  <c r="Y26" i="36"/>
  <c r="AA26" i="36"/>
  <c r="AB26" i="36"/>
  <c r="AC26" i="36"/>
  <c r="T27" i="36"/>
  <c r="U27" i="36"/>
  <c r="V27" i="36"/>
  <c r="W27" i="36"/>
  <c r="X27" i="36"/>
  <c r="Y27" i="36"/>
  <c r="AA27" i="36"/>
  <c r="AB27" i="36"/>
  <c r="AC27" i="36"/>
  <c r="T28" i="36"/>
  <c r="U28" i="36"/>
  <c r="V28" i="36"/>
  <c r="W28" i="36"/>
  <c r="X28" i="36"/>
  <c r="Z28" i="36"/>
  <c r="Y28" i="36"/>
  <c r="AA28" i="36"/>
  <c r="AB28" i="36"/>
  <c r="AC28" i="36"/>
  <c r="T29" i="36"/>
  <c r="U29" i="36"/>
  <c r="V29" i="36"/>
  <c r="W29" i="36"/>
  <c r="X29" i="36"/>
  <c r="Y29" i="36"/>
  <c r="AA29" i="36"/>
  <c r="AB29" i="36"/>
  <c r="AC29" i="36"/>
  <c r="T30" i="36"/>
  <c r="U30" i="36"/>
  <c r="V30" i="36"/>
  <c r="W30" i="36"/>
  <c r="X30" i="36"/>
  <c r="Z30" i="36"/>
  <c r="Y30" i="36"/>
  <c r="AA30" i="36"/>
  <c r="AB30" i="36"/>
  <c r="AC30" i="36"/>
  <c r="T31" i="36"/>
  <c r="U31" i="36"/>
  <c r="V31" i="36"/>
  <c r="W31" i="36"/>
  <c r="X31" i="36"/>
  <c r="Y31" i="36"/>
  <c r="AA31" i="36"/>
  <c r="AB31" i="36"/>
  <c r="AC31" i="36"/>
  <c r="T32" i="36"/>
  <c r="U32" i="36"/>
  <c r="V32" i="36"/>
  <c r="W32" i="36"/>
  <c r="X32" i="36"/>
  <c r="Z32" i="36"/>
  <c r="Y32" i="36"/>
  <c r="AA32" i="36"/>
  <c r="AB32" i="36"/>
  <c r="AC32" i="36"/>
  <c r="T33" i="36"/>
  <c r="U33" i="36"/>
  <c r="V33" i="36"/>
  <c r="W33" i="36"/>
  <c r="X33" i="36"/>
  <c r="Y33" i="36"/>
  <c r="AA33" i="36"/>
  <c r="AB33" i="36"/>
  <c r="AC33" i="36"/>
  <c r="T34" i="36"/>
  <c r="U34" i="36"/>
  <c r="V34" i="36"/>
  <c r="W34" i="36"/>
  <c r="X34" i="36"/>
  <c r="Z34" i="36"/>
  <c r="Y34" i="36"/>
  <c r="AA34" i="36"/>
  <c r="AB34" i="36"/>
  <c r="AC34" i="36"/>
  <c r="T35" i="36"/>
  <c r="U35" i="36"/>
  <c r="V35" i="36"/>
  <c r="W35" i="36"/>
  <c r="X35" i="36"/>
  <c r="Y35" i="36"/>
  <c r="AA35" i="36"/>
  <c r="AB35" i="36"/>
  <c r="AC35" i="36"/>
  <c r="T36" i="36"/>
  <c r="U36" i="36"/>
  <c r="V36" i="36"/>
  <c r="W36" i="36"/>
  <c r="X36" i="36"/>
  <c r="Z36" i="36"/>
  <c r="Y36" i="36"/>
  <c r="AA36" i="36"/>
  <c r="AB36" i="36"/>
  <c r="AC36" i="36"/>
  <c r="T37" i="36"/>
  <c r="U37" i="36"/>
  <c r="V37" i="36"/>
  <c r="W37" i="36"/>
  <c r="X37" i="36"/>
  <c r="Y37" i="36"/>
  <c r="AA37" i="36"/>
  <c r="AB37" i="36"/>
  <c r="AC37" i="36"/>
  <c r="T38" i="36"/>
  <c r="U38" i="36"/>
  <c r="V38" i="36"/>
  <c r="W38" i="36"/>
  <c r="X38" i="36"/>
  <c r="Z38" i="36"/>
  <c r="Y38" i="36"/>
  <c r="AA38" i="36"/>
  <c r="AB38" i="36"/>
  <c r="AC38" i="36"/>
  <c r="T39" i="36"/>
  <c r="U39" i="36"/>
  <c r="V39" i="36"/>
  <c r="W39" i="36"/>
  <c r="X39" i="36"/>
  <c r="Y39" i="36"/>
  <c r="AA39" i="36"/>
  <c r="AB39" i="36"/>
  <c r="AC39" i="36"/>
  <c r="T40" i="36"/>
  <c r="U40" i="36"/>
  <c r="V40" i="36"/>
  <c r="W40" i="36"/>
  <c r="X40" i="36"/>
  <c r="Z40" i="36"/>
  <c r="Y40" i="36"/>
  <c r="AA40" i="36"/>
  <c r="AB40" i="36"/>
  <c r="AC40" i="36"/>
  <c r="T41" i="36"/>
  <c r="U41" i="36"/>
  <c r="V41" i="36"/>
  <c r="W41" i="36"/>
  <c r="X41" i="36"/>
  <c r="Y41" i="36"/>
  <c r="AA41" i="36"/>
  <c r="AB41" i="36"/>
  <c r="AC41" i="36"/>
  <c r="T42" i="36"/>
  <c r="U42" i="36"/>
  <c r="V42" i="36"/>
  <c r="W42" i="36"/>
  <c r="X42" i="36"/>
  <c r="Z42" i="36"/>
  <c r="Y42" i="36"/>
  <c r="AA42" i="36"/>
  <c r="AB42" i="36"/>
  <c r="AC42" i="36"/>
  <c r="T43" i="36"/>
  <c r="U43" i="36"/>
  <c r="V43" i="36"/>
  <c r="W43" i="36"/>
  <c r="X43" i="36"/>
  <c r="Y43" i="36"/>
  <c r="AA43" i="36"/>
  <c r="AB43" i="36"/>
  <c r="AC43" i="36"/>
  <c r="T44" i="36"/>
  <c r="U44" i="36"/>
  <c r="V44" i="36"/>
  <c r="W44" i="36"/>
  <c r="X44" i="36"/>
  <c r="Z44" i="36"/>
  <c r="Y44" i="36"/>
  <c r="AA44" i="36"/>
  <c r="AB44" i="36"/>
  <c r="AC44" i="36"/>
  <c r="T45" i="36"/>
  <c r="U45" i="36"/>
  <c r="V45" i="36"/>
  <c r="W45" i="36"/>
  <c r="X45" i="36"/>
  <c r="Y45" i="36"/>
  <c r="AA45" i="36"/>
  <c r="AB45" i="36"/>
  <c r="AC45" i="36"/>
  <c r="T46" i="36"/>
  <c r="U46" i="36"/>
  <c r="V46" i="36"/>
  <c r="W46" i="36"/>
  <c r="X46" i="36"/>
  <c r="Z46" i="36"/>
  <c r="Y46" i="36"/>
  <c r="AA46" i="36"/>
  <c r="AB46" i="36"/>
  <c r="AC46" i="36"/>
  <c r="T47" i="36"/>
  <c r="U47" i="36"/>
  <c r="V47" i="36"/>
  <c r="W47" i="36"/>
  <c r="X47" i="36"/>
  <c r="Y47" i="36"/>
  <c r="AA47" i="36"/>
  <c r="AB47" i="36"/>
  <c r="AC47" i="36"/>
  <c r="T48" i="36"/>
  <c r="U48" i="36"/>
  <c r="V48" i="36"/>
  <c r="W48" i="36"/>
  <c r="X48" i="36"/>
  <c r="Z48" i="36"/>
  <c r="Y48" i="36"/>
  <c r="AA48" i="36"/>
  <c r="AB48" i="36"/>
  <c r="AC48" i="36"/>
  <c r="T49" i="36"/>
  <c r="U49" i="36"/>
  <c r="V49" i="36"/>
  <c r="W49" i="36"/>
  <c r="X49" i="36"/>
  <c r="Y49" i="36"/>
  <c r="AA49" i="36"/>
  <c r="AB49" i="36"/>
  <c r="AC49" i="36"/>
  <c r="T50" i="36"/>
  <c r="U50" i="36"/>
  <c r="V50" i="36"/>
  <c r="W50" i="36"/>
  <c r="X50" i="36"/>
  <c r="Z50" i="36"/>
  <c r="Y50" i="36"/>
  <c r="AA50" i="36"/>
  <c r="AB50" i="36"/>
  <c r="AC50" i="36"/>
  <c r="T51" i="36"/>
  <c r="U51" i="36"/>
  <c r="V51" i="36"/>
  <c r="W51" i="36"/>
  <c r="X51" i="36"/>
  <c r="Y51" i="36"/>
  <c r="AA51" i="36"/>
  <c r="AB51" i="36"/>
  <c r="AC51" i="36"/>
  <c r="T52" i="36"/>
  <c r="U52" i="36"/>
  <c r="V52" i="36"/>
  <c r="W52" i="36"/>
  <c r="X52" i="36"/>
  <c r="Z52" i="36"/>
  <c r="Y52" i="36"/>
  <c r="AA52" i="36"/>
  <c r="AB52" i="36"/>
  <c r="AC52" i="36"/>
  <c r="T53" i="36"/>
  <c r="U53" i="36"/>
  <c r="V53" i="36"/>
  <c r="W53" i="36"/>
  <c r="X53" i="36"/>
  <c r="Y53" i="36"/>
  <c r="AA53" i="36"/>
  <c r="AB53" i="36"/>
  <c r="AC53" i="36"/>
  <c r="T54" i="36"/>
  <c r="U54" i="36"/>
  <c r="V54" i="36"/>
  <c r="W54" i="36"/>
  <c r="X54" i="36"/>
  <c r="Y54" i="36"/>
  <c r="AA54" i="36"/>
  <c r="AB54" i="36"/>
  <c r="AC54" i="36"/>
  <c r="T55" i="36"/>
  <c r="U55" i="36"/>
  <c r="V55" i="36"/>
  <c r="W55" i="36"/>
  <c r="X55" i="36"/>
  <c r="Y55" i="36"/>
  <c r="AA55" i="36"/>
  <c r="AB55" i="36"/>
  <c r="AC55" i="36"/>
  <c r="T56" i="36"/>
  <c r="U56" i="36"/>
  <c r="V56" i="36"/>
  <c r="W56" i="36"/>
  <c r="X56" i="36"/>
  <c r="Y56" i="36"/>
  <c r="AA56" i="36"/>
  <c r="AB56" i="36"/>
  <c r="AC56" i="36"/>
  <c r="T57" i="36"/>
  <c r="U57" i="36"/>
  <c r="V57" i="36"/>
  <c r="W57" i="36"/>
  <c r="X57" i="36"/>
  <c r="Y57" i="36"/>
  <c r="AA57" i="36"/>
  <c r="AB57" i="36"/>
  <c r="AC57" i="36"/>
  <c r="T58" i="36"/>
  <c r="U58" i="36"/>
  <c r="V58" i="36"/>
  <c r="W58" i="36"/>
  <c r="X58" i="36"/>
  <c r="Y58" i="36"/>
  <c r="AA58" i="36"/>
  <c r="AB58" i="36"/>
  <c r="AC58" i="36"/>
  <c r="T59" i="36"/>
  <c r="U59" i="36"/>
  <c r="V59" i="36"/>
  <c r="W59" i="36"/>
  <c r="X59" i="36"/>
  <c r="Y59" i="36"/>
  <c r="AA59" i="36"/>
  <c r="AB59" i="36"/>
  <c r="AC59" i="36"/>
  <c r="T60" i="36"/>
  <c r="U60" i="36"/>
  <c r="V60" i="36"/>
  <c r="W60" i="36"/>
  <c r="X60" i="36"/>
  <c r="Y60" i="36"/>
  <c r="AA60" i="36"/>
  <c r="AB60" i="36"/>
  <c r="AC60" i="36"/>
  <c r="T61" i="36"/>
  <c r="U61" i="36"/>
  <c r="V61" i="36"/>
  <c r="W61" i="36"/>
  <c r="X61" i="36"/>
  <c r="Y61" i="36"/>
  <c r="AA61" i="36"/>
  <c r="AB61" i="36"/>
  <c r="AC61" i="36"/>
  <c r="T62" i="36"/>
  <c r="U62" i="36"/>
  <c r="V62" i="36"/>
  <c r="W62" i="36"/>
  <c r="X62" i="36"/>
  <c r="Y62" i="36"/>
  <c r="AA62" i="36"/>
  <c r="AB62" i="36"/>
  <c r="AC62" i="36"/>
  <c r="T63" i="36"/>
  <c r="U63" i="36"/>
  <c r="V63" i="36"/>
  <c r="W63" i="36"/>
  <c r="X63" i="36"/>
  <c r="Y63" i="36"/>
  <c r="AA63" i="36"/>
  <c r="AB63" i="36"/>
  <c r="AC63" i="36"/>
  <c r="T64" i="36"/>
  <c r="U64" i="36"/>
  <c r="V64" i="36"/>
  <c r="W64" i="36"/>
  <c r="X64" i="36"/>
  <c r="Y64" i="36"/>
  <c r="AA64" i="36"/>
  <c r="AB64" i="36"/>
  <c r="AC64" i="36"/>
  <c r="T65" i="36"/>
  <c r="U65" i="36"/>
  <c r="V65" i="36"/>
  <c r="W65" i="36"/>
  <c r="X65" i="36"/>
  <c r="Y65" i="36"/>
  <c r="AA65" i="36"/>
  <c r="AB65" i="36"/>
  <c r="AC65" i="36"/>
  <c r="T66" i="36"/>
  <c r="U66" i="36"/>
  <c r="V66" i="36"/>
  <c r="W66" i="36"/>
  <c r="X66" i="36"/>
  <c r="Y66" i="36"/>
  <c r="AA66" i="36"/>
  <c r="AB66" i="36"/>
  <c r="AC66" i="36"/>
  <c r="T67" i="36"/>
  <c r="U67" i="36"/>
  <c r="V67" i="36"/>
  <c r="W67" i="36"/>
  <c r="X67" i="36"/>
  <c r="Y67" i="36"/>
  <c r="AA67" i="36"/>
  <c r="AB67" i="36"/>
  <c r="AC67" i="36"/>
  <c r="T68" i="36"/>
  <c r="U68" i="36"/>
  <c r="V68" i="36"/>
  <c r="W68" i="36"/>
  <c r="X68" i="36"/>
  <c r="Y68" i="36"/>
  <c r="AA68" i="36"/>
  <c r="AB68" i="36"/>
  <c r="AC68" i="36"/>
  <c r="T69" i="36"/>
  <c r="U69" i="36"/>
  <c r="V69" i="36"/>
  <c r="W69" i="36"/>
  <c r="X69" i="36"/>
  <c r="Y69" i="36"/>
  <c r="AA69" i="36"/>
  <c r="AB69" i="36"/>
  <c r="AC69" i="36"/>
  <c r="T70" i="36"/>
  <c r="U70" i="36"/>
  <c r="V70" i="36"/>
  <c r="W70" i="36"/>
  <c r="X70" i="36"/>
  <c r="Y70" i="36"/>
  <c r="AA70" i="36"/>
  <c r="AB70" i="36"/>
  <c r="AC70" i="36"/>
  <c r="T71" i="36"/>
  <c r="U71" i="36"/>
  <c r="V71" i="36"/>
  <c r="W71" i="36"/>
  <c r="X71" i="36"/>
  <c r="Y71" i="36"/>
  <c r="AA71" i="36"/>
  <c r="AB71" i="36"/>
  <c r="AC71" i="36"/>
  <c r="T72" i="36"/>
  <c r="U72" i="36"/>
  <c r="V72" i="36"/>
  <c r="W72" i="36"/>
  <c r="X72" i="36"/>
  <c r="Y72" i="36"/>
  <c r="AA72" i="36"/>
  <c r="AB72" i="36"/>
  <c r="AC72" i="36"/>
  <c r="T73" i="36"/>
  <c r="U73" i="36"/>
  <c r="V73" i="36"/>
  <c r="W73" i="36"/>
  <c r="X73" i="36"/>
  <c r="Y73" i="36"/>
  <c r="AA73" i="36"/>
  <c r="AB73" i="36"/>
  <c r="AC73" i="36"/>
  <c r="C77" i="36"/>
  <c r="T77" i="36"/>
  <c r="U77" i="36"/>
  <c r="V77" i="36"/>
  <c r="W77" i="36"/>
  <c r="X77" i="36"/>
  <c r="Z77" i="36"/>
  <c r="Y77" i="36"/>
  <c r="AA77" i="36"/>
  <c r="AB77" i="36"/>
  <c r="AC77" i="36"/>
  <c r="C78" i="36"/>
  <c r="T78" i="36"/>
  <c r="U78" i="36"/>
  <c r="V78" i="36"/>
  <c r="W78" i="36"/>
  <c r="X78" i="36"/>
  <c r="Y78" i="36"/>
  <c r="AA78" i="36"/>
  <c r="AB78" i="36"/>
  <c r="AC78" i="36"/>
  <c r="C79" i="36"/>
  <c r="T79" i="36"/>
  <c r="U79" i="36"/>
  <c r="V79" i="36"/>
  <c r="W79" i="36"/>
  <c r="X79" i="36"/>
  <c r="Z79" i="36"/>
  <c r="Y79" i="36"/>
  <c r="AA79" i="36"/>
  <c r="C80" i="36"/>
  <c r="T80" i="36"/>
  <c r="U80" i="36"/>
  <c r="V80" i="36"/>
  <c r="W80" i="36"/>
  <c r="X80" i="36"/>
  <c r="Y80" i="36"/>
  <c r="AA80" i="36"/>
  <c r="AB80" i="36"/>
  <c r="AC80" i="36"/>
  <c r="C81" i="36"/>
  <c r="T81" i="36"/>
  <c r="U81" i="36"/>
  <c r="V81" i="36"/>
  <c r="W81" i="36"/>
  <c r="X81" i="36"/>
  <c r="Z81" i="36"/>
  <c r="Y81" i="36"/>
  <c r="AA81" i="36"/>
  <c r="AB81" i="36"/>
  <c r="AC81" i="36"/>
  <c r="C82" i="36"/>
  <c r="T82" i="36"/>
  <c r="U82" i="36"/>
  <c r="V82" i="36"/>
  <c r="W82" i="36"/>
  <c r="X82" i="36"/>
  <c r="Y82" i="36"/>
  <c r="AA82" i="36"/>
  <c r="AB82" i="36"/>
  <c r="AC82" i="36"/>
  <c r="C83" i="36"/>
  <c r="T83" i="36"/>
  <c r="U83" i="36"/>
  <c r="V83" i="36"/>
  <c r="W83" i="36"/>
  <c r="X83" i="36"/>
  <c r="Z83" i="36"/>
  <c r="Y83" i="36"/>
  <c r="AA83" i="36"/>
  <c r="C84" i="36"/>
  <c r="T84" i="36"/>
  <c r="U84" i="36"/>
  <c r="V84" i="36"/>
  <c r="W84" i="36"/>
  <c r="X84" i="36"/>
  <c r="Y84" i="36"/>
  <c r="AA84" i="36"/>
  <c r="AB84" i="36"/>
  <c r="AC84" i="36"/>
  <c r="C85" i="36"/>
  <c r="T85" i="36"/>
  <c r="U85" i="36"/>
  <c r="V85" i="36"/>
  <c r="W85" i="36"/>
  <c r="X85" i="36"/>
  <c r="Z85" i="36"/>
  <c r="Y85" i="36"/>
  <c r="AA85" i="36"/>
  <c r="AB85" i="36"/>
  <c r="AC85" i="36"/>
  <c r="C86" i="36"/>
  <c r="T86" i="36"/>
  <c r="U86" i="36"/>
  <c r="V86" i="36"/>
  <c r="W86" i="36"/>
  <c r="X86" i="36"/>
  <c r="Y86" i="36"/>
  <c r="AA86" i="36"/>
  <c r="AB86" i="36"/>
  <c r="AC86" i="36"/>
  <c r="C87" i="36"/>
  <c r="T87" i="36"/>
  <c r="U87" i="36"/>
  <c r="V87" i="36"/>
  <c r="W87" i="36"/>
  <c r="X87" i="36"/>
  <c r="Z87" i="36"/>
  <c r="Y87" i="36"/>
  <c r="AA87" i="36"/>
  <c r="C88" i="36"/>
  <c r="T88" i="36"/>
  <c r="U88" i="36"/>
  <c r="V88" i="36"/>
  <c r="W88" i="36"/>
  <c r="X88" i="36"/>
  <c r="Y88" i="36"/>
  <c r="AA88" i="36"/>
  <c r="AB88" i="36"/>
  <c r="AC88" i="36"/>
  <c r="C89" i="36"/>
  <c r="T89" i="36"/>
  <c r="U89" i="36"/>
  <c r="V89" i="36"/>
  <c r="W89" i="36"/>
  <c r="X89" i="36"/>
  <c r="Z89" i="36"/>
  <c r="Y89" i="36"/>
  <c r="AA89" i="36"/>
  <c r="AB89" i="36"/>
  <c r="AC89" i="36"/>
  <c r="C90" i="36"/>
  <c r="T90" i="36"/>
  <c r="U90" i="36"/>
  <c r="V90" i="36"/>
  <c r="W90" i="36"/>
  <c r="X90" i="36"/>
  <c r="Y90" i="36"/>
  <c r="AA90" i="36"/>
  <c r="AB90" i="36"/>
  <c r="AC90" i="36"/>
  <c r="C91" i="36"/>
  <c r="T91" i="36"/>
  <c r="U91" i="36"/>
  <c r="V91" i="36"/>
  <c r="W91" i="36"/>
  <c r="X91" i="36"/>
  <c r="Z91" i="36"/>
  <c r="Y91" i="36"/>
  <c r="AA91" i="36"/>
  <c r="C92" i="36"/>
  <c r="T92" i="36"/>
  <c r="U92" i="36"/>
  <c r="V92" i="36"/>
  <c r="W92" i="36"/>
  <c r="X92" i="36"/>
  <c r="Y92" i="36"/>
  <c r="AA92" i="36"/>
  <c r="AB92" i="36"/>
  <c r="AC92" i="36"/>
  <c r="C93" i="36"/>
  <c r="T93" i="36"/>
  <c r="U93" i="36"/>
  <c r="V93" i="36"/>
  <c r="W93" i="36"/>
  <c r="X93" i="36"/>
  <c r="Z93" i="36"/>
  <c r="Y93" i="36"/>
  <c r="AA93" i="36"/>
  <c r="AB93" i="36"/>
  <c r="AC93" i="36"/>
  <c r="C94" i="36"/>
  <c r="T94" i="36"/>
  <c r="U94" i="36"/>
  <c r="V94" i="36"/>
  <c r="W94" i="36"/>
  <c r="X94" i="36"/>
  <c r="Y94" i="36"/>
  <c r="AA94" i="36"/>
  <c r="AB94" i="36"/>
  <c r="AC94" i="36"/>
  <c r="C95" i="36"/>
  <c r="T95" i="36"/>
  <c r="U95" i="36"/>
  <c r="V95" i="36"/>
  <c r="W95" i="36"/>
  <c r="X95" i="36"/>
  <c r="Z95" i="36"/>
  <c r="Y95" i="36"/>
  <c r="AA95" i="36"/>
  <c r="C96" i="36"/>
  <c r="T96" i="36"/>
  <c r="U96" i="36"/>
  <c r="V96" i="36"/>
  <c r="W96" i="36"/>
  <c r="X96" i="36"/>
  <c r="Y96" i="36"/>
  <c r="AA96" i="36"/>
  <c r="AB96" i="36"/>
  <c r="AC96" i="36"/>
  <c r="C97" i="36"/>
  <c r="T97" i="36"/>
  <c r="U97" i="36"/>
  <c r="V97" i="36"/>
  <c r="W97" i="36"/>
  <c r="X97" i="36"/>
  <c r="Z97" i="36"/>
  <c r="Y97" i="36"/>
  <c r="AA97" i="36"/>
  <c r="AB97" i="36"/>
  <c r="AC97" i="36"/>
  <c r="C98" i="36"/>
  <c r="T98" i="36"/>
  <c r="U98" i="36"/>
  <c r="V98" i="36"/>
  <c r="W98" i="36"/>
  <c r="X98" i="36"/>
  <c r="Y98" i="36"/>
  <c r="AA98" i="36"/>
  <c r="AB98" i="36"/>
  <c r="AC98" i="36"/>
  <c r="C99" i="36"/>
  <c r="T99" i="36"/>
  <c r="U99" i="36"/>
  <c r="V99" i="36"/>
  <c r="W99" i="36"/>
  <c r="X99" i="36"/>
  <c r="Z99" i="36"/>
  <c r="Y99" i="36"/>
  <c r="AA99" i="36"/>
  <c r="C103" i="36"/>
  <c r="T103" i="36"/>
  <c r="U103" i="36"/>
  <c r="V103" i="36"/>
  <c r="W103" i="36"/>
  <c r="X103" i="36"/>
  <c r="Y103" i="36"/>
  <c r="AA103" i="36"/>
  <c r="AB103" i="36"/>
  <c r="AC103" i="36"/>
  <c r="C104" i="36"/>
  <c r="T104" i="36"/>
  <c r="U104" i="36"/>
  <c r="V104" i="36"/>
  <c r="W104" i="36"/>
  <c r="X104" i="36"/>
  <c r="Z104" i="36"/>
  <c r="Y104" i="36"/>
  <c r="AA104" i="36"/>
  <c r="AB104" i="36"/>
  <c r="AC104" i="36"/>
  <c r="C105" i="36"/>
  <c r="T105" i="36"/>
  <c r="U105" i="36"/>
  <c r="V105" i="36"/>
  <c r="W105" i="36"/>
  <c r="X105" i="36"/>
  <c r="Y105" i="36"/>
  <c r="AA105" i="36"/>
  <c r="AB105" i="36"/>
  <c r="AC105" i="36"/>
  <c r="C106" i="36"/>
  <c r="T106" i="36"/>
  <c r="U106" i="36"/>
  <c r="V106" i="36"/>
  <c r="W106" i="36"/>
  <c r="X106" i="36"/>
  <c r="Z106" i="36"/>
  <c r="Y106" i="36"/>
  <c r="AA106" i="36"/>
  <c r="C107" i="36"/>
  <c r="T107" i="36"/>
  <c r="U107" i="36"/>
  <c r="V107" i="36"/>
  <c r="W107" i="36"/>
  <c r="X107" i="36"/>
  <c r="Y107" i="36"/>
  <c r="AA107" i="36"/>
  <c r="AB107" i="36"/>
  <c r="AC107" i="36"/>
  <c r="C108" i="36"/>
  <c r="T108" i="36"/>
  <c r="U108" i="36"/>
  <c r="V108" i="36"/>
  <c r="W108" i="36"/>
  <c r="X108" i="36"/>
  <c r="Z108" i="36"/>
  <c r="Y108" i="36"/>
  <c r="AA108" i="36"/>
  <c r="AB108" i="36"/>
  <c r="AC108" i="36"/>
  <c r="C109" i="36"/>
  <c r="T109" i="36"/>
  <c r="U109" i="36"/>
  <c r="V109" i="36"/>
  <c r="W109" i="36"/>
  <c r="X109" i="36"/>
  <c r="Y109" i="36"/>
  <c r="AA109" i="36"/>
  <c r="AB109" i="36"/>
  <c r="AC109" i="36"/>
  <c r="C110" i="36"/>
  <c r="T110" i="36"/>
  <c r="U110" i="36"/>
  <c r="V110" i="36"/>
  <c r="W110" i="36"/>
  <c r="X110" i="36"/>
  <c r="Z110" i="36"/>
  <c r="Y110" i="36"/>
  <c r="AA110" i="36"/>
  <c r="C111" i="36"/>
  <c r="T111" i="36"/>
  <c r="U111" i="36"/>
  <c r="V111" i="36"/>
  <c r="W111" i="36"/>
  <c r="X111" i="36"/>
  <c r="Y111" i="36"/>
  <c r="AA111" i="36"/>
  <c r="AB111" i="36"/>
  <c r="AC111" i="36"/>
  <c r="C112" i="36"/>
  <c r="T112" i="36"/>
  <c r="U112" i="36"/>
  <c r="V112" i="36"/>
  <c r="W112" i="36"/>
  <c r="X112" i="36"/>
  <c r="Z112" i="36"/>
  <c r="Y112" i="36"/>
  <c r="AA112" i="36"/>
  <c r="AB112" i="36"/>
  <c r="AC112" i="36"/>
  <c r="C113" i="36"/>
  <c r="T113" i="36"/>
  <c r="U113" i="36"/>
  <c r="V113" i="36"/>
  <c r="W113" i="36"/>
  <c r="X113" i="36"/>
  <c r="Y113" i="36"/>
  <c r="AA113" i="36"/>
  <c r="AB113" i="36"/>
  <c r="AC113" i="36"/>
  <c r="C114" i="36"/>
  <c r="T114" i="36"/>
  <c r="U114" i="36"/>
  <c r="V114" i="36"/>
  <c r="W114" i="36"/>
  <c r="X114" i="36"/>
  <c r="Z114" i="36"/>
  <c r="Y114" i="36"/>
  <c r="AA114" i="36"/>
  <c r="T118" i="36"/>
  <c r="U118" i="36"/>
  <c r="V118" i="36"/>
  <c r="W118" i="36"/>
  <c r="X118" i="36"/>
  <c r="Z118" i="36"/>
  <c r="Y118" i="36"/>
  <c r="AA118" i="36"/>
  <c r="C119" i="36"/>
  <c r="T119" i="36"/>
  <c r="U119" i="36"/>
  <c r="V119" i="36"/>
  <c r="W119" i="36"/>
  <c r="X119" i="36"/>
  <c r="Y119" i="36"/>
  <c r="AA119" i="36"/>
  <c r="AB119" i="36"/>
  <c r="AC119" i="36"/>
  <c r="C120" i="36"/>
  <c r="T120" i="36"/>
  <c r="U120" i="36"/>
  <c r="V120" i="36"/>
  <c r="W120" i="36"/>
  <c r="X120" i="36"/>
  <c r="Y120" i="36"/>
  <c r="AA120" i="36"/>
  <c r="C121" i="36"/>
  <c r="T121" i="36"/>
  <c r="U121" i="36"/>
  <c r="V121" i="36"/>
  <c r="W121" i="36"/>
  <c r="X121" i="36"/>
  <c r="Z121" i="36"/>
  <c r="Y121" i="36"/>
  <c r="AA121" i="36"/>
  <c r="AB121" i="36"/>
  <c r="AC121" i="36"/>
  <c r="C122" i="36"/>
  <c r="T122" i="36"/>
  <c r="U122" i="36"/>
  <c r="V122" i="36"/>
  <c r="W122" i="36"/>
  <c r="X122" i="36"/>
  <c r="Z122" i="36"/>
  <c r="Y122" i="36"/>
  <c r="AA122" i="36"/>
  <c r="C123" i="36"/>
  <c r="T123" i="36"/>
  <c r="U123" i="36"/>
  <c r="V123" i="36"/>
  <c r="W123" i="36"/>
  <c r="X123" i="36"/>
  <c r="Y123" i="36"/>
  <c r="AA123" i="36"/>
  <c r="AB123" i="36"/>
  <c r="AC123" i="36"/>
  <c r="C124" i="36"/>
  <c r="T124" i="36"/>
  <c r="U124" i="36"/>
  <c r="V124" i="36"/>
  <c r="W124" i="36"/>
  <c r="X124" i="36"/>
  <c r="Y124" i="36"/>
  <c r="AA124" i="36"/>
  <c r="C125" i="36"/>
  <c r="T125" i="36"/>
  <c r="U125" i="36"/>
  <c r="V125" i="36"/>
  <c r="W125" i="36"/>
  <c r="X125" i="36"/>
  <c r="Z125" i="36"/>
  <c r="Y125" i="36"/>
  <c r="AA125" i="36"/>
  <c r="AB125" i="36"/>
  <c r="AC125" i="36"/>
  <c r="C126" i="36"/>
  <c r="T126" i="36"/>
  <c r="U126" i="36"/>
  <c r="V126" i="36"/>
  <c r="W126" i="36"/>
  <c r="X126" i="36"/>
  <c r="Z126" i="36"/>
  <c r="Y126" i="36"/>
  <c r="AA126" i="36"/>
  <c r="C127" i="36"/>
  <c r="T127" i="36"/>
  <c r="U127" i="36"/>
  <c r="V127" i="36"/>
  <c r="W127" i="36"/>
  <c r="X127" i="36"/>
  <c r="Y127" i="36"/>
  <c r="AA127" i="36"/>
  <c r="AB127" i="36"/>
  <c r="AC127" i="36"/>
  <c r="C128" i="36"/>
  <c r="T128" i="36"/>
  <c r="U128" i="36"/>
  <c r="V128" i="36"/>
  <c r="W128" i="36"/>
  <c r="X128" i="36"/>
  <c r="Y128" i="36"/>
  <c r="AA128" i="36"/>
  <c r="C129" i="36"/>
  <c r="T129" i="36"/>
  <c r="U129" i="36"/>
  <c r="V129" i="36"/>
  <c r="W129" i="36"/>
  <c r="X129" i="36"/>
  <c r="Z129" i="36"/>
  <c r="Y129" i="36"/>
  <c r="AA129" i="36"/>
  <c r="AB129" i="36"/>
  <c r="AC129" i="36"/>
  <c r="C133" i="36"/>
  <c r="T133" i="36"/>
  <c r="U133" i="36"/>
  <c r="V133" i="36"/>
  <c r="W133" i="36"/>
  <c r="X133" i="36"/>
  <c r="Z133" i="36"/>
  <c r="Y133" i="36"/>
  <c r="AA133" i="36"/>
  <c r="C134" i="36"/>
  <c r="T134" i="36"/>
  <c r="U134" i="36"/>
  <c r="V134" i="36"/>
  <c r="W134" i="36"/>
  <c r="X134" i="36"/>
  <c r="Y134" i="36"/>
  <c r="AA134" i="36"/>
  <c r="AB134" i="36"/>
  <c r="AC134" i="36"/>
  <c r="C135" i="36"/>
  <c r="T135" i="36"/>
  <c r="U135" i="36"/>
  <c r="V135" i="36"/>
  <c r="W135" i="36"/>
  <c r="X135" i="36"/>
  <c r="Y135" i="36"/>
  <c r="AA135" i="36"/>
  <c r="C136" i="36"/>
  <c r="T136" i="36"/>
  <c r="U136" i="36"/>
  <c r="V136" i="36"/>
  <c r="W136" i="36"/>
  <c r="X136" i="36"/>
  <c r="Z136" i="36"/>
  <c r="Y136" i="36"/>
  <c r="AA136" i="36"/>
  <c r="AB136" i="36"/>
  <c r="AC136" i="36"/>
  <c r="C137" i="36"/>
  <c r="T137" i="36"/>
  <c r="U137" i="36"/>
  <c r="V137" i="36"/>
  <c r="W137" i="36"/>
  <c r="X137" i="36"/>
  <c r="Z137" i="36"/>
  <c r="Y137" i="36"/>
  <c r="AA137" i="36"/>
  <c r="C138" i="36"/>
  <c r="T138" i="36"/>
  <c r="U138" i="36"/>
  <c r="V138" i="36"/>
  <c r="W138" i="36"/>
  <c r="X138" i="36"/>
  <c r="Y138" i="36"/>
  <c r="AA138" i="36"/>
  <c r="AB138" i="36"/>
  <c r="AC138" i="36"/>
  <c r="C139" i="36"/>
  <c r="T139" i="36"/>
  <c r="U139" i="36"/>
  <c r="V139" i="36"/>
  <c r="W139" i="36"/>
  <c r="X139" i="36"/>
  <c r="Y139" i="36"/>
  <c r="AA139" i="36"/>
  <c r="AB139" i="36"/>
  <c r="AC139" i="36"/>
  <c r="C140" i="36"/>
  <c r="T140" i="36"/>
  <c r="U140" i="36"/>
  <c r="V140" i="36"/>
  <c r="W140" i="36"/>
  <c r="X140" i="36"/>
  <c r="Y140" i="36"/>
  <c r="AA140" i="36"/>
  <c r="AB140" i="36"/>
  <c r="AC140" i="36"/>
  <c r="C141" i="36"/>
  <c r="T141" i="36"/>
  <c r="U141" i="36"/>
  <c r="V141" i="36"/>
  <c r="W141" i="36"/>
  <c r="X141" i="36"/>
  <c r="Z141" i="36"/>
  <c r="Y141" i="36"/>
  <c r="AA141" i="36"/>
  <c r="C142" i="36"/>
  <c r="T142" i="36"/>
  <c r="U142" i="36"/>
  <c r="V142" i="36"/>
  <c r="W142" i="36"/>
  <c r="X142" i="36"/>
  <c r="Y142" i="36"/>
  <c r="AA142" i="36"/>
  <c r="AB142" i="36"/>
  <c r="AC142" i="36"/>
  <c r="C143" i="36"/>
  <c r="T143" i="36"/>
  <c r="U143" i="36"/>
  <c r="V143" i="36"/>
  <c r="W143" i="36"/>
  <c r="X143" i="36"/>
  <c r="Z143" i="36"/>
  <c r="Y143" i="36"/>
  <c r="AA143" i="36"/>
  <c r="AB143" i="36"/>
  <c r="AC143" i="36"/>
  <c r="C144" i="36"/>
  <c r="T144" i="36"/>
  <c r="U144" i="36"/>
  <c r="V144" i="36"/>
  <c r="W144" i="36"/>
  <c r="X144" i="36"/>
  <c r="Y144" i="36"/>
  <c r="AA144" i="36"/>
  <c r="AB144" i="36"/>
  <c r="AC144" i="36"/>
  <c r="C145" i="36"/>
  <c r="T145" i="36"/>
  <c r="U145" i="36"/>
  <c r="V145" i="36"/>
  <c r="W145" i="36"/>
  <c r="X145" i="36"/>
  <c r="Z145" i="36"/>
  <c r="Y145" i="36"/>
  <c r="AA145" i="36"/>
  <c r="C146" i="36"/>
  <c r="T146" i="36"/>
  <c r="U146" i="36"/>
  <c r="V146" i="36"/>
  <c r="W146" i="36"/>
  <c r="X146" i="36"/>
  <c r="Y146" i="36"/>
  <c r="AA146" i="36"/>
  <c r="AB146" i="36"/>
  <c r="AC146" i="36"/>
  <c r="C147" i="36"/>
  <c r="T147" i="36"/>
  <c r="U147" i="36"/>
  <c r="V147" i="36"/>
  <c r="W147" i="36"/>
  <c r="X147" i="36"/>
  <c r="Z147" i="36"/>
  <c r="Y147" i="36"/>
  <c r="AA147" i="36"/>
  <c r="AB147" i="36"/>
  <c r="AC147" i="36"/>
  <c r="C148" i="36"/>
  <c r="T148" i="36"/>
  <c r="U148" i="36"/>
  <c r="V148" i="36"/>
  <c r="W148" i="36"/>
  <c r="X148" i="36"/>
  <c r="Y148" i="36"/>
  <c r="AA148" i="36"/>
  <c r="AB148" i="36"/>
  <c r="AC148" i="36"/>
  <c r="C149" i="36"/>
  <c r="T149" i="36"/>
  <c r="U149" i="36"/>
  <c r="V149" i="36"/>
  <c r="W149" i="36"/>
  <c r="X149" i="36"/>
  <c r="Z149" i="36"/>
  <c r="Y149" i="36"/>
  <c r="AA149" i="36"/>
  <c r="C150" i="36"/>
  <c r="T150" i="36"/>
  <c r="U150" i="36"/>
  <c r="V150" i="36"/>
  <c r="W150" i="36"/>
  <c r="X150" i="36"/>
  <c r="Y150" i="36"/>
  <c r="AA150" i="36"/>
  <c r="AB150" i="36"/>
  <c r="AC150" i="36"/>
  <c r="C154" i="36"/>
  <c r="T154" i="36"/>
  <c r="U154" i="36"/>
  <c r="V154" i="36"/>
  <c r="W154" i="36"/>
  <c r="X154" i="36"/>
  <c r="Z154" i="36"/>
  <c r="Y154" i="36"/>
  <c r="AA154" i="36"/>
  <c r="AB154" i="36"/>
  <c r="AC154" i="36"/>
  <c r="C155" i="36"/>
  <c r="T155" i="36"/>
  <c r="U155" i="36"/>
  <c r="V155" i="36"/>
  <c r="W155" i="36"/>
  <c r="X155" i="36"/>
  <c r="Y155" i="36"/>
  <c r="AA155" i="36"/>
  <c r="AB155" i="36"/>
  <c r="AC155" i="36"/>
  <c r="C159" i="36"/>
  <c r="T159" i="36"/>
  <c r="U159" i="36"/>
  <c r="V159" i="36"/>
  <c r="W159" i="36"/>
  <c r="X159" i="36"/>
  <c r="Z159" i="36"/>
  <c r="Y159" i="36"/>
  <c r="AA159" i="36"/>
  <c r="AD159" i="36"/>
  <c r="C160" i="36"/>
  <c r="T160" i="36"/>
  <c r="U160" i="36"/>
  <c r="V160" i="36"/>
  <c r="W160" i="36"/>
  <c r="X160" i="36"/>
  <c r="Z160" i="36"/>
  <c r="Y160" i="36"/>
  <c r="AA160" i="36"/>
  <c r="AD160" i="36"/>
  <c r="C161" i="36"/>
  <c r="T161" i="36"/>
  <c r="U161" i="36"/>
  <c r="V161" i="36"/>
  <c r="W161" i="36"/>
  <c r="X161" i="36"/>
  <c r="Z161" i="36"/>
  <c r="Y161" i="36"/>
  <c r="AA161" i="36"/>
  <c r="AD161" i="36"/>
  <c r="C162" i="36"/>
  <c r="T162" i="36"/>
  <c r="U162" i="36"/>
  <c r="V162" i="36"/>
  <c r="W162" i="36"/>
  <c r="X162" i="36"/>
  <c r="Z162" i="36"/>
  <c r="Y162" i="36"/>
  <c r="AA162" i="36"/>
  <c r="AD162" i="36"/>
  <c r="C163" i="36"/>
  <c r="T163" i="36"/>
  <c r="U163" i="36"/>
  <c r="V163" i="36"/>
  <c r="W163" i="36"/>
  <c r="X163" i="36"/>
  <c r="Z163" i="36"/>
  <c r="Y163" i="36"/>
  <c r="AA163" i="36"/>
  <c r="AD163" i="36"/>
  <c r="C164" i="36"/>
  <c r="T164" i="36"/>
  <c r="U164" i="36"/>
  <c r="V164" i="36"/>
  <c r="W164" i="36"/>
  <c r="X164" i="36"/>
  <c r="Z164" i="36"/>
  <c r="Y164" i="36"/>
  <c r="AA164" i="36"/>
  <c r="AD164" i="36"/>
  <c r="C165" i="36"/>
  <c r="T165" i="36"/>
  <c r="U165" i="36"/>
  <c r="V165" i="36"/>
  <c r="W165" i="36"/>
  <c r="X165" i="36"/>
  <c r="Z165" i="36"/>
  <c r="Y165" i="36"/>
  <c r="AA165" i="36"/>
  <c r="AD165" i="36"/>
  <c r="C166" i="36"/>
  <c r="T166" i="36"/>
  <c r="U166" i="36"/>
  <c r="V166" i="36"/>
  <c r="W166" i="36"/>
  <c r="X166" i="36"/>
  <c r="Z166" i="36"/>
  <c r="Y166" i="36"/>
  <c r="AA166" i="36"/>
  <c r="AD166" i="36"/>
  <c r="C170" i="36"/>
  <c r="C171" i="36"/>
  <c r="C175" i="36"/>
  <c r="C176" i="36"/>
  <c r="C177" i="36"/>
  <c r="C178" i="36"/>
  <c r="C179" i="36"/>
  <c r="C180" i="36"/>
  <c r="C181" i="36"/>
  <c r="C182" i="36"/>
  <c r="AA16" i="1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37" i="34"/>
  <c r="E38" i="34"/>
  <c r="E39" i="34"/>
  <c r="E41" i="34"/>
  <c r="E42" i="34"/>
  <c r="E43" i="34"/>
  <c r="E44" i="34"/>
  <c r="E45" i="34"/>
  <c r="E46" i="34"/>
  <c r="E47" i="34"/>
  <c r="E48" i="34"/>
  <c r="E49" i="34"/>
  <c r="E50" i="34"/>
  <c r="E51" i="34"/>
  <c r="E52" i="34"/>
  <c r="E53" i="34"/>
  <c r="E54" i="34"/>
  <c r="E55" i="34"/>
  <c r="E56" i="34"/>
  <c r="E57" i="34"/>
  <c r="E58" i="34"/>
  <c r="E59" i="34"/>
  <c r="E60" i="34"/>
  <c r="E61" i="34"/>
  <c r="E62" i="34"/>
  <c r="E63" i="34"/>
  <c r="E64" i="34"/>
  <c r="E65" i="34"/>
  <c r="E66" i="34"/>
  <c r="E67" i="34"/>
  <c r="E68" i="34"/>
  <c r="E69" i="34"/>
  <c r="E70" i="34"/>
  <c r="E71" i="34"/>
  <c r="E72" i="34"/>
  <c r="E73" i="34"/>
  <c r="E74" i="34"/>
  <c r="E75" i="34"/>
  <c r="E76" i="34"/>
  <c r="E77" i="34"/>
  <c r="E78" i="34"/>
  <c r="E79" i="34"/>
  <c r="E80" i="34"/>
  <c r="E82" i="34"/>
  <c r="E83" i="34"/>
  <c r="E84" i="34"/>
  <c r="E85" i="34"/>
  <c r="E86" i="34"/>
  <c r="E87" i="34"/>
  <c r="E88" i="34"/>
  <c r="E89" i="34"/>
  <c r="E90" i="34"/>
  <c r="E91" i="34"/>
  <c r="E92" i="34"/>
  <c r="E93" i="34"/>
  <c r="E94" i="34"/>
  <c r="E95" i="34"/>
  <c r="E96" i="34"/>
  <c r="E97" i="34"/>
  <c r="E98" i="34"/>
  <c r="E99" i="34"/>
  <c r="E100" i="34"/>
  <c r="E101" i="34"/>
  <c r="E102" i="34"/>
  <c r="E103" i="34"/>
  <c r="E104" i="34"/>
  <c r="E12" i="34"/>
  <c r="E13" i="34"/>
  <c r="E14" i="34"/>
  <c r="E15" i="34"/>
  <c r="E16" i="34"/>
  <c r="E17" i="34"/>
  <c r="E5" i="34"/>
  <c r="E6" i="34"/>
  <c r="E7" i="34"/>
  <c r="E8" i="34"/>
  <c r="E9" i="34"/>
  <c r="E10" i="34"/>
  <c r="E11" i="34"/>
  <c r="E4" i="34"/>
  <c r="J3" i="1"/>
  <c r="L3" i="1"/>
  <c r="AB165" i="36"/>
  <c r="AC165" i="36"/>
  <c r="AB163" i="36"/>
  <c r="AC163" i="36"/>
  <c r="AB161" i="36"/>
  <c r="AC161" i="36"/>
  <c r="AB159" i="36"/>
  <c r="AC159" i="36"/>
  <c r="AB149" i="36"/>
  <c r="AC149" i="36"/>
  <c r="AB145" i="36"/>
  <c r="AC145" i="36"/>
  <c r="AB141" i="36"/>
  <c r="AC141" i="36"/>
  <c r="Z139" i="36"/>
  <c r="Z138" i="36"/>
  <c r="Z135" i="36"/>
  <c r="Z134" i="36"/>
  <c r="Z128" i="36"/>
  <c r="Z127" i="36"/>
  <c r="Z124" i="36"/>
  <c r="Z123" i="36"/>
  <c r="Z120" i="36"/>
  <c r="Z119" i="36"/>
  <c r="AB114" i="36"/>
  <c r="AC114" i="36"/>
  <c r="AB110" i="36"/>
  <c r="AC110" i="36"/>
  <c r="AB106" i="36"/>
  <c r="AC106" i="36"/>
  <c r="AB99" i="36"/>
  <c r="AC99" i="36"/>
  <c r="AB95" i="36"/>
  <c r="AC95" i="36"/>
  <c r="AB91" i="36"/>
  <c r="AC91" i="36"/>
  <c r="AB87" i="36"/>
  <c r="AC87" i="36"/>
  <c r="AB83" i="36"/>
  <c r="AC83" i="36"/>
  <c r="AB79" i="36"/>
  <c r="AC79" i="36"/>
  <c r="Z73" i="36"/>
  <c r="Z71" i="36"/>
  <c r="Z69" i="36"/>
  <c r="Z67" i="36"/>
  <c r="Z65" i="36"/>
  <c r="Z63" i="36"/>
  <c r="Z61" i="36"/>
  <c r="AB166" i="36"/>
  <c r="AC166" i="36"/>
  <c r="AB164" i="36"/>
  <c r="AC164" i="36"/>
  <c r="AB162" i="36"/>
  <c r="AC162" i="36"/>
  <c r="AB160" i="36"/>
  <c r="AC160" i="36"/>
  <c r="Z155" i="36"/>
  <c r="Z150" i="36"/>
  <c r="Z148" i="36"/>
  <c r="Z146" i="36"/>
  <c r="Z144" i="36"/>
  <c r="Z142" i="36"/>
  <c r="Z140" i="36"/>
  <c r="Z26" i="36"/>
  <c r="Z8" i="36"/>
  <c r="AB137" i="36"/>
  <c r="AC137" i="36"/>
  <c r="AB135" i="36"/>
  <c r="AC135" i="36"/>
  <c r="AB133" i="36"/>
  <c r="AC133" i="36"/>
  <c r="AB128" i="36"/>
  <c r="AC128" i="36"/>
  <c r="AB126" i="36"/>
  <c r="AC126" i="36"/>
  <c r="AB124" i="36"/>
  <c r="AC124" i="36"/>
  <c r="AB122" i="36"/>
  <c r="AC122" i="36"/>
  <c r="AB120" i="36"/>
  <c r="AC120" i="36"/>
  <c r="AB118" i="36"/>
  <c r="AC118" i="36"/>
  <c r="Z113" i="36"/>
  <c r="Z111" i="36"/>
  <c r="Z109" i="36"/>
  <c r="Z107" i="36"/>
  <c r="Z105" i="36"/>
  <c r="Z103" i="36"/>
  <c r="Z98" i="36"/>
  <c r="Z96" i="36"/>
  <c r="Z94" i="36"/>
  <c r="Z92" i="36"/>
  <c r="Z90" i="36"/>
  <c r="Z88" i="36"/>
  <c r="Z86" i="36"/>
  <c r="Z84" i="36"/>
  <c r="Z82" i="36"/>
  <c r="Z80" i="36"/>
  <c r="Z78" i="36"/>
  <c r="Z59" i="36"/>
  <c r="Z55" i="36"/>
  <c r="Z53" i="36"/>
  <c r="Z51" i="36"/>
  <c r="Z49" i="36"/>
  <c r="Z47" i="36"/>
  <c r="Z45" i="36"/>
  <c r="Z43" i="36"/>
  <c r="Z41" i="36"/>
  <c r="Z39" i="36"/>
  <c r="Z37" i="36"/>
  <c r="Z35" i="36"/>
  <c r="Z33" i="36"/>
  <c r="Z31" i="36"/>
  <c r="Z29" i="36"/>
  <c r="Z27" i="36"/>
  <c r="Z25" i="36"/>
  <c r="Z23" i="36"/>
  <c r="Z21" i="36"/>
  <c r="Z19" i="36"/>
  <c r="Z17" i="36"/>
  <c r="Z15" i="36"/>
  <c r="Z13" i="36"/>
  <c r="Z11" i="36"/>
  <c r="Z9" i="36"/>
  <c r="Z7" i="36"/>
  <c r="Z5" i="36"/>
  <c r="Z72" i="36"/>
  <c r="Z70" i="36"/>
  <c r="Z68" i="36"/>
  <c r="Z66" i="36"/>
  <c r="Z64" i="36"/>
  <c r="Z62" i="36"/>
  <c r="Z60" i="36"/>
  <c r="Z58" i="36"/>
  <c r="Z56" i="36"/>
  <c r="Z54" i="36"/>
  <c r="Z57" i="36"/>
  <c r="U19" i="1"/>
  <c r="T25" i="1"/>
  <c r="U24" i="1"/>
  <c r="T28" i="1"/>
  <c r="T20" i="1"/>
  <c r="U22" i="1"/>
  <c r="U30" i="1"/>
  <c r="T23" i="1"/>
  <c r="U23" i="1"/>
  <c r="T26" i="1"/>
  <c r="T21" i="1"/>
  <c r="U29" i="1"/>
  <c r="U25" i="1"/>
  <c r="T29" i="1"/>
  <c r="U26" i="1"/>
  <c r="U21" i="1"/>
  <c r="T24" i="1"/>
  <c r="U20" i="1"/>
  <c r="T22" i="1"/>
  <c r="T30" i="1"/>
  <c r="U27" i="1"/>
  <c r="T19" i="1"/>
  <c r="T27" i="1"/>
  <c r="U28" i="1"/>
</calcChain>
</file>

<file path=xl/comments1.xml><?xml version="1.0" encoding="utf-8"?>
<comments xmlns="http://schemas.openxmlformats.org/spreadsheetml/2006/main">
  <authors>
    <author>Autore</author>
  </authors>
  <commentList>
    <comment ref="AB2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2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75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75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P79" authorId="0">
      <text>
        <r>
          <rPr>
            <b/>
            <sz val="8"/>
            <color indexed="81"/>
            <rFont val="Tahoma"/>
            <family val="2"/>
          </rPr>
          <t xml:space="preserve">è la temperatura del condensatore, è riportata nella colonna Tcond
</t>
        </r>
      </text>
    </comment>
    <comment ref="A81" authorId="0">
      <text>
        <r>
          <rPr>
            <b/>
            <sz val="8"/>
            <color indexed="81"/>
            <rFont val="Tahoma"/>
            <family val="2"/>
          </rPr>
          <t xml:space="preserve">Ho invertito per la prima volta le termocoppie T5 e T6
</t>
        </r>
      </text>
    </comment>
    <comment ref="A82" authorId="0">
      <text>
        <r>
          <rPr>
            <b/>
            <sz val="8"/>
            <color indexed="81"/>
            <rFont val="Tahoma"/>
            <family val="2"/>
          </rPr>
          <t xml:space="preserve">Ho rimesso le termocoppie T5 e T6 nella loro posizione originale per valutare eventuali effetti di ripulitura dovuti al bagno a 100°C
</t>
        </r>
      </text>
    </comment>
    <comment ref="A83" authorId="0">
      <text>
        <r>
          <rPr>
            <b/>
            <sz val="8"/>
            <color indexed="81"/>
            <rFont val="Tahoma"/>
            <family val="2"/>
          </rPr>
          <t xml:space="preserve">Ho inserito una termocoppia diametralmente opposta a T6 per valutare l'eventuale presenza di film
</t>
        </r>
      </text>
    </comment>
    <comment ref="P83" authorId="0">
      <text>
        <r>
          <rPr>
            <b/>
            <sz val="8"/>
            <color indexed="81"/>
            <rFont val="Tahoma"/>
            <family val="2"/>
          </rPr>
          <t xml:space="preserve">temperatura termocoppia opposta a T6, è riportata nella colonna Tfilm
</t>
        </r>
      </text>
    </comment>
    <comment ref="A84" authorId="0">
      <text>
        <r>
          <rPr>
            <b/>
            <sz val="8"/>
            <color indexed="81"/>
            <rFont val="Tahoma"/>
            <family val="2"/>
          </rPr>
          <t xml:space="preserve">La stessa prova è stata effetuata a 70 W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5" authorId="0">
      <text>
        <r>
          <rPr>
            <b/>
            <sz val="8"/>
            <color indexed="81"/>
            <rFont val="Tahoma"/>
            <family val="2"/>
          </rPr>
          <t xml:space="preserve">La prova è la stessa di sopra ma abbiamo tolto la termocoppia opposta a T6
</t>
        </r>
      </text>
    </comment>
    <comment ref="P86" authorId="0">
      <text>
        <r>
          <rPr>
            <b/>
            <sz val="8"/>
            <color indexed="81"/>
            <rFont val="Tahoma"/>
            <family val="2"/>
          </rPr>
          <t xml:space="preserve">temperatura del condensatore, è riportata nella colonna Tcond
</t>
        </r>
      </text>
    </comment>
    <comment ref="A92" authorId="0">
      <text>
        <r>
          <rPr>
            <b/>
            <sz val="9"/>
            <color indexed="81"/>
            <rFont val="Tahoma"/>
            <family val="2"/>
          </rPr>
          <t>se c'è tempo converrebbe ripeterle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01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01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16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16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31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31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52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52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57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57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68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68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  <comment ref="AB173" authorId="0">
      <text>
        <r>
          <rPr>
            <b/>
            <sz val="8"/>
            <color indexed="81"/>
            <rFont val="Tahoma"/>
            <family val="2"/>
          </rPr>
          <t xml:space="preserve">Ho assunto come loro che l'heat pipe non vada a battuta ma penetri solo di 7 mm
</t>
        </r>
      </text>
    </comment>
    <comment ref="AD173" authorId="0">
      <text>
        <r>
          <rPr>
            <b/>
            <sz val="9"/>
            <color indexed="81"/>
            <rFont val="Tahoma"/>
            <family val="2"/>
          </rPr>
          <t>Dove le ho misurate ho inserito quelle, altrimenti sono calcolate</t>
        </r>
      </text>
    </comment>
  </commentList>
</comments>
</file>

<file path=xl/sharedStrings.xml><?xml version="1.0" encoding="utf-8"?>
<sst xmlns="http://schemas.openxmlformats.org/spreadsheetml/2006/main" count="1124" uniqueCount="426">
  <si>
    <t>latitudine del sito</t>
  </si>
  <si>
    <t>inclinazione superficie</t>
  </si>
  <si>
    <t>azimuth</t>
  </si>
  <si>
    <t>costante solare</t>
  </si>
  <si>
    <t>W/mq</t>
  </si>
  <si>
    <t>riflettanza</t>
  </si>
  <si>
    <t>capoluogo di provincia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</si>
  <si>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</si>
  <si>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</si>
  <si>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</si>
  <si>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</si>
  <si>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</si>
  <si>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</si>
  <si>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</si>
  <si>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</si>
  <si>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</si>
  <si>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</si>
  <si>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</si>
  <si>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</si>
  <si>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</t>
  </si>
  <si>
    <t>[…]</t>
  </si>
  <si>
    <t>δ</t>
  </si>
  <si>
    <t>[°]</t>
  </si>
  <si>
    <t>T</t>
  </si>
  <si>
    <t>U</t>
  </si>
  <si>
    <t>V</t>
  </si>
  <si>
    <t>Δ</t>
  </si>
  <si>
    <t>ϕ</t>
  </si>
  <si>
    <t>β</t>
  </si>
  <si>
    <t>ϒ</t>
  </si>
  <si>
    <t>°</t>
  </si>
  <si>
    <t>ω'</t>
  </si>
  <si>
    <t>ω''</t>
  </si>
  <si>
    <t>Δ&gt;0</t>
  </si>
  <si>
    <t>T+U&gt;0</t>
  </si>
  <si>
    <t>T+U&lt;0</t>
  </si>
  <si>
    <t>Δ=&lt;0</t>
  </si>
  <si>
    <t>casi</t>
  </si>
  <si>
    <t>mai esposta</t>
  </si>
  <si>
    <t>[...]</t>
  </si>
  <si>
    <t>R</t>
  </si>
  <si>
    <t>[MJ/mq-g]</t>
  </si>
  <si>
    <t>Frosinone</t>
  </si>
  <si>
    <t>Roma</t>
  </si>
  <si>
    <t>Ancona</t>
  </si>
  <si>
    <t>Pescara</t>
  </si>
  <si>
    <t>Città</t>
  </si>
  <si>
    <t>Latitudine</t>
  </si>
  <si>
    <t>Agrigento</t>
  </si>
  <si>
    <t>Alessandria</t>
  </si>
  <si>
    <t>Aosta</t>
  </si>
  <si>
    <t>Arezzo</t>
  </si>
  <si>
    <t>Asti</t>
  </si>
  <si>
    <t>Avellino</t>
  </si>
  <si>
    <t>Bari</t>
  </si>
  <si>
    <t>Bergamo</t>
  </si>
  <si>
    <t>Benevento</t>
  </si>
  <si>
    <t>Bologna</t>
  </si>
  <si>
    <t>Brindisi</t>
  </si>
  <si>
    <t>Brescia</t>
  </si>
  <si>
    <t>Bolzano</t>
  </si>
  <si>
    <t>Cagliari</t>
  </si>
  <si>
    <t>Campobasso</t>
  </si>
  <si>
    <t>Caserta</t>
  </si>
  <si>
    <t>Chieti</t>
  </si>
  <si>
    <t>Cuneo</t>
  </si>
  <si>
    <t>Como</t>
  </si>
  <si>
    <t>Cremona</t>
  </si>
  <si>
    <t>Cosenza</t>
  </si>
  <si>
    <t>Catania</t>
  </si>
  <si>
    <t>Catanzaro</t>
  </si>
  <si>
    <t>Enna</t>
  </si>
  <si>
    <t>Ferrara</t>
  </si>
  <si>
    <t>Foggia</t>
  </si>
  <si>
    <t>Genova</t>
  </si>
  <si>
    <t>Gorizia</t>
  </si>
  <si>
    <t>Grosseto</t>
  </si>
  <si>
    <t>Crotone</t>
  </si>
  <si>
    <t>Lecco</t>
  </si>
  <si>
    <t>Lodi</t>
  </si>
  <si>
    <t>Lecce</t>
  </si>
  <si>
    <t>Livorno</t>
  </si>
  <si>
    <t>Lucca</t>
  </si>
  <si>
    <t>Macerata</t>
  </si>
  <si>
    <t>Messina</t>
  </si>
  <si>
    <t>Milano</t>
  </si>
  <si>
    <t>Mantova</t>
  </si>
  <si>
    <t>Modena</t>
  </si>
  <si>
    <t>Massa-Carrara</t>
  </si>
  <si>
    <t>Matera</t>
  </si>
  <si>
    <t>Novara</t>
  </si>
  <si>
    <t>Nuoro</t>
  </si>
  <si>
    <t>Oristano</t>
  </si>
  <si>
    <t>Palermo</t>
  </si>
  <si>
    <t>Piacenza</t>
  </si>
  <si>
    <t>Padova</t>
  </si>
  <si>
    <t>Perugia</t>
  </si>
  <si>
    <t>Pisa</t>
  </si>
  <si>
    <t>Pordenone</t>
  </si>
  <si>
    <t>Prato</t>
  </si>
  <si>
    <t>Parma</t>
  </si>
  <si>
    <t>Pesaro e Urbino</t>
  </si>
  <si>
    <t>Pistoia</t>
  </si>
  <si>
    <t>Pavia</t>
  </si>
  <si>
    <t>Potenza</t>
  </si>
  <si>
    <t>Ravenna</t>
  </si>
  <si>
    <t>Reggio di Calabria</t>
  </si>
  <si>
    <t>Rieti</t>
  </si>
  <si>
    <t>Salerno</t>
  </si>
  <si>
    <t>Siena</t>
  </si>
  <si>
    <t>La Spezia</t>
  </si>
  <si>
    <t>Siracusa</t>
  </si>
  <si>
    <t>Sassari</t>
  </si>
  <si>
    <t>Savona</t>
  </si>
  <si>
    <t>Taranto</t>
  </si>
  <si>
    <t>Teramo</t>
  </si>
  <si>
    <t>Trento</t>
  </si>
  <si>
    <t>Trapani</t>
  </si>
  <si>
    <t>Terni</t>
  </si>
  <si>
    <t>Trieste</t>
  </si>
  <si>
    <t>Treviso</t>
  </si>
  <si>
    <t>Udine</t>
  </si>
  <si>
    <t>Varese</t>
  </si>
  <si>
    <t>Verbania</t>
  </si>
  <si>
    <t>Vercelli</t>
  </si>
  <si>
    <t>Venezia</t>
  </si>
  <si>
    <t>Vicenza</t>
  </si>
  <si>
    <t>Verona</t>
  </si>
  <si>
    <t>Viterbo</t>
  </si>
  <si>
    <t xml:space="preserve">Reggio nell'Emilia </t>
  </si>
  <si>
    <t>codice</t>
  </si>
  <si>
    <t>'</t>
  </si>
  <si>
    <t>I</t>
  </si>
  <si>
    <t>II</t>
  </si>
  <si>
    <t>L'Aquila</t>
  </si>
  <si>
    <r>
      <t>G</t>
    </r>
    <r>
      <rPr>
        <vertAlign val="subscript"/>
        <sz val="11"/>
        <color theme="1"/>
        <rFont val="Calibri"/>
        <family val="2"/>
      </rPr>
      <t>0</t>
    </r>
  </si>
  <si>
    <r>
      <t>H</t>
    </r>
    <r>
      <rPr>
        <vertAlign val="subscript"/>
        <sz val="11"/>
        <color theme="1"/>
        <rFont val="Calibri"/>
        <family val="2"/>
      </rPr>
      <t>ho</t>
    </r>
  </si>
  <si>
    <r>
      <t>T</t>
    </r>
    <r>
      <rPr>
        <vertAlign val="subscript"/>
        <sz val="11"/>
        <color theme="1"/>
        <rFont val="Calibri"/>
        <family val="2"/>
        <scheme val="minor"/>
      </rPr>
      <t>h</t>
    </r>
  </si>
  <si>
    <r>
      <t>U</t>
    </r>
    <r>
      <rPr>
        <vertAlign val="subscript"/>
        <sz val="11"/>
        <color theme="1"/>
        <rFont val="Calibri"/>
        <family val="2"/>
        <scheme val="minor"/>
      </rPr>
      <t>h</t>
    </r>
  </si>
  <si>
    <r>
      <t>ω</t>
    </r>
    <r>
      <rPr>
        <vertAlign val="subscript"/>
        <sz val="11"/>
        <color theme="1"/>
        <rFont val="Calibri"/>
        <family val="2"/>
      </rPr>
      <t>s</t>
    </r>
  </si>
  <si>
    <r>
      <t>ω</t>
    </r>
    <r>
      <rPr>
        <vertAlign val="subscript"/>
        <sz val="11"/>
        <color theme="1"/>
        <rFont val="Calibri"/>
        <family val="2"/>
      </rPr>
      <t>1</t>
    </r>
  </si>
  <si>
    <r>
      <t>ω</t>
    </r>
    <r>
      <rPr>
        <vertAlign val="subscript"/>
        <sz val="11"/>
        <color theme="1"/>
        <rFont val="Calibri"/>
        <family val="2"/>
      </rPr>
      <t>2</t>
    </r>
  </si>
  <si>
    <r>
      <t>H</t>
    </r>
    <r>
      <rPr>
        <vertAlign val="subscript"/>
        <sz val="11"/>
        <color theme="1"/>
        <rFont val="Calibri"/>
        <family val="2"/>
      </rPr>
      <t>bh</t>
    </r>
  </si>
  <si>
    <r>
      <t>H</t>
    </r>
    <r>
      <rPr>
        <vertAlign val="subscript"/>
        <sz val="11"/>
        <color theme="1"/>
        <rFont val="Calibri"/>
        <family val="2"/>
      </rPr>
      <t>b</t>
    </r>
  </si>
  <si>
    <r>
      <t>R</t>
    </r>
    <r>
      <rPr>
        <vertAlign val="subscript"/>
        <sz val="11"/>
        <color theme="1"/>
        <rFont val="Calibri"/>
        <family val="2"/>
      </rPr>
      <t>b</t>
    </r>
  </si>
  <si>
    <r>
      <t>H</t>
    </r>
    <r>
      <rPr>
        <vertAlign val="subscript"/>
        <sz val="11"/>
        <color theme="1"/>
        <rFont val="Calibri"/>
        <family val="2"/>
      </rPr>
      <t>bh</t>
    </r>
    <r>
      <rPr>
        <sz val="11"/>
        <color theme="1"/>
        <rFont val="Calibri"/>
        <family val="2"/>
      </rPr>
      <t>*</t>
    </r>
  </si>
  <si>
    <r>
      <t>H</t>
    </r>
    <r>
      <rPr>
        <vertAlign val="subscript"/>
        <sz val="11"/>
        <color theme="1"/>
        <rFont val="Calibri"/>
        <family val="2"/>
      </rPr>
      <t>dh</t>
    </r>
    <r>
      <rPr>
        <sz val="11"/>
        <color theme="1"/>
        <rFont val="Calibri"/>
        <family val="2"/>
      </rPr>
      <t>*</t>
    </r>
  </si>
  <si>
    <r>
      <t>H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>*</t>
    </r>
  </si>
  <si>
    <r>
      <t>K</t>
    </r>
    <r>
      <rPr>
        <vertAlign val="subscript"/>
        <sz val="11"/>
        <color theme="1"/>
        <rFont val="Calibri"/>
        <family val="2"/>
      </rPr>
      <t>T</t>
    </r>
  </si>
  <si>
    <r>
      <t>H</t>
    </r>
    <r>
      <rPr>
        <vertAlign val="subscript"/>
        <sz val="11"/>
        <color theme="1"/>
        <rFont val="Calibri"/>
        <family val="2"/>
      </rPr>
      <t>d</t>
    </r>
    <r>
      <rPr>
        <sz val="11"/>
        <color theme="1"/>
        <rFont val="Calibri"/>
        <family val="2"/>
      </rPr>
      <t>/H</t>
    </r>
    <r>
      <rPr>
        <vertAlign val="subscript"/>
        <sz val="11"/>
        <color theme="1"/>
        <rFont val="Calibri"/>
        <family val="2"/>
      </rPr>
      <t>h</t>
    </r>
    <r>
      <rPr>
        <sz val="11"/>
        <color theme="1"/>
        <rFont val="Calibri"/>
        <family val="2"/>
      </rPr>
      <t>*</t>
    </r>
  </si>
  <si>
    <t>H*</t>
  </si>
  <si>
    <t>Tipo di superficie</t>
  </si>
  <si>
    <t>ϑ</t>
  </si>
  <si>
    <t>Neve (caduta di fresco o con film di ghiaccio)</t>
  </si>
  <si>
    <t>Superfici acquose</t>
  </si>
  <si>
    <t>Suolo (creta, marne)</t>
  </si>
  <si>
    <t>Strade sterrate</t>
  </si>
  <si>
    <t>Bosco di conifere d'inverno</t>
  </si>
  <si>
    <t>Bosco in autunno/campi con raccolti maturi e piante</t>
  </si>
  <si>
    <t>Asfalto invecchiato</t>
  </si>
  <si>
    <t>Calcestruzzo invecchiato</t>
  </si>
  <si>
    <t>Foglie morte</t>
  </si>
  <si>
    <t>Erba secca</t>
  </si>
  <si>
    <t>Erba verde</t>
  </si>
  <si>
    <t>Tetti o terrazzi in bitume</t>
  </si>
  <si>
    <t>Pietrisco</t>
  </si>
  <si>
    <t>Superfici scure di edifici (mattoni scuri, vernici scure, ecc.)</t>
  </si>
  <si>
    <t>Superfici chiare di edifici (mattoni chiari, vernici chiare, ecc.)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</si>
  <si>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</si>
  <si>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</si>
  <si>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</si>
  <si>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</si>
  <si>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</si>
  <si>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</si>
  <si>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</si>
  <si>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</si>
  <si>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</si>
  <si>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</si>
  <si>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</si>
  <si>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</si>
  <si>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Belluno</t>
  </si>
  <si>
    <t>Ascoli Piceno</t>
  </si>
  <si>
    <t>Rovigo</t>
  </si>
  <si>
    <t>Ragusa</t>
  </si>
  <si>
    <t>Rimini</t>
  </si>
  <si>
    <t>Firenze</t>
  </si>
  <si>
    <t>Latina</t>
  </si>
  <si>
    <t>Napoli</t>
  </si>
  <si>
    <t>Sondrio</t>
  </si>
  <si>
    <t>Torino</t>
  </si>
  <si>
    <t>Caltanissetta</t>
  </si>
  <si>
    <t>Forlì</t>
  </si>
  <si>
    <t>Imperia</t>
  </si>
  <si>
    <t>Isernia</t>
  </si>
  <si>
    <t>Reggio nell'Emilia</t>
  </si>
  <si>
    <t>m</t>
  </si>
  <si>
    <t>5g155WNC_T110_SupIn_120712F</t>
  </si>
  <si>
    <t>5g155WNC_T90_SupIn_120712F</t>
  </si>
  <si>
    <t>5g155WNC_T70_SupIn_130712F</t>
  </si>
  <si>
    <t>5g155WNC_T50_SupIn_130712F</t>
  </si>
  <si>
    <t>5g70WNC_T110_SupIn_090712F</t>
  </si>
  <si>
    <t>5g70WNC_T90_SupIn_090712F</t>
  </si>
  <si>
    <t>5g70WNC_T70_SupIn_100712F</t>
  </si>
  <si>
    <t>5g70WNC_T50_SupIn_110712F</t>
  </si>
  <si>
    <t>°C</t>
  </si>
  <si>
    <t>W/mq-K</t>
  </si>
  <si>
    <t>W</t>
  </si>
  <si>
    <t>°C/W</t>
  </si>
  <si>
    <t>kg/h</t>
  </si>
  <si>
    <t>bar</t>
  </si>
  <si>
    <t>%</t>
  </si>
  <si>
    <t>g</t>
  </si>
  <si>
    <r>
      <t>T</t>
    </r>
    <r>
      <rPr>
        <vertAlign val="subscript"/>
        <sz val="11"/>
        <rFont val="Calibri"/>
        <family val="2"/>
        <scheme val="minor"/>
      </rPr>
      <t>c</t>
    </r>
  </si>
  <si>
    <r>
      <t>h</t>
    </r>
    <r>
      <rPr>
        <vertAlign val="subscript"/>
        <sz val="11"/>
        <rFont val="Calibri"/>
        <family val="2"/>
        <scheme val="minor"/>
      </rPr>
      <t>c</t>
    </r>
  </si>
  <si>
    <r>
      <t>q</t>
    </r>
    <r>
      <rPr>
        <vertAlign val="subscript"/>
        <sz val="11"/>
        <rFont val="Calibri"/>
        <family val="2"/>
        <scheme val="minor"/>
      </rPr>
      <t>c</t>
    </r>
  </si>
  <si>
    <r>
      <t>η</t>
    </r>
    <r>
      <rPr>
        <vertAlign val="subscript"/>
        <sz val="11"/>
        <rFont val="Calibri"/>
        <family val="2"/>
        <scheme val="minor"/>
      </rPr>
      <t>HP</t>
    </r>
  </si>
  <si>
    <r>
      <t>h</t>
    </r>
    <r>
      <rPr>
        <vertAlign val="subscript"/>
        <sz val="11"/>
        <rFont val="Calibri"/>
        <family val="2"/>
        <scheme val="minor"/>
      </rPr>
      <t>ev</t>
    </r>
  </si>
  <si>
    <r>
      <t>T</t>
    </r>
    <r>
      <rPr>
        <vertAlign val="subscript"/>
        <sz val="11"/>
        <rFont val="Calibri"/>
        <family val="2"/>
        <scheme val="minor"/>
      </rPr>
      <t>v</t>
    </r>
  </si>
  <si>
    <r>
      <t>T</t>
    </r>
    <r>
      <rPr>
        <vertAlign val="subscript"/>
        <sz val="11"/>
        <rFont val="Calibri"/>
        <family val="2"/>
        <scheme val="minor"/>
      </rPr>
      <t>ev</t>
    </r>
  </si>
  <si>
    <r>
      <t>q</t>
    </r>
    <r>
      <rPr>
        <vertAlign val="subscript"/>
        <sz val="11"/>
        <rFont val="Calibri"/>
        <family val="2"/>
        <scheme val="minor"/>
      </rPr>
      <t>m</t>
    </r>
  </si>
  <si>
    <r>
      <t>Q</t>
    </r>
    <r>
      <rPr>
        <vertAlign val="subscript"/>
        <sz val="11"/>
        <rFont val="Calibri"/>
        <family val="2"/>
        <scheme val="minor"/>
      </rPr>
      <t>m</t>
    </r>
  </si>
  <si>
    <r>
      <t>T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-T</t>
    </r>
    <r>
      <rPr>
        <vertAlign val="subscript"/>
        <sz val="11"/>
        <rFont val="Calibri"/>
        <family val="2"/>
        <scheme val="minor"/>
      </rPr>
      <t>1</t>
    </r>
  </si>
  <si>
    <r>
      <t>T</t>
    </r>
    <r>
      <rPr>
        <vertAlign val="subscript"/>
        <sz val="11"/>
        <rFont val="Calibri"/>
        <family val="2"/>
        <scheme val="minor"/>
      </rPr>
      <t>5</t>
    </r>
    <r>
      <rPr>
        <sz val="11"/>
        <rFont val="Calibri"/>
        <family val="2"/>
        <scheme val="minor"/>
      </rPr>
      <t>-T</t>
    </r>
    <r>
      <rPr>
        <vertAlign val="subscript"/>
        <sz val="11"/>
        <rFont val="Calibri"/>
        <family val="2"/>
        <scheme val="minor"/>
      </rPr>
      <t>6</t>
    </r>
  </si>
  <si>
    <r>
      <t>R</t>
    </r>
    <r>
      <rPr>
        <vertAlign val="subscript"/>
        <sz val="11"/>
        <rFont val="Calibri"/>
        <family val="2"/>
        <scheme val="minor"/>
      </rPr>
      <t>th</t>
    </r>
  </si>
  <si>
    <r>
      <t>Q</t>
    </r>
    <r>
      <rPr>
        <vertAlign val="subscript"/>
        <sz val="11"/>
        <rFont val="Calibri"/>
        <family val="2"/>
        <scheme val="minor"/>
      </rPr>
      <t>out</t>
    </r>
  </si>
  <si>
    <r>
      <t>T</t>
    </r>
    <r>
      <rPr>
        <vertAlign val="subscript"/>
        <sz val="11"/>
        <rFont val="Calibri"/>
        <family val="2"/>
        <scheme val="minor"/>
      </rPr>
      <t>9</t>
    </r>
  </si>
  <si>
    <r>
      <t>T</t>
    </r>
    <r>
      <rPr>
        <vertAlign val="subscript"/>
        <sz val="11"/>
        <rFont val="Calibri"/>
        <family val="2"/>
        <scheme val="minor"/>
      </rPr>
      <t>8</t>
    </r>
  </si>
  <si>
    <r>
      <t>T</t>
    </r>
    <r>
      <rPr>
        <vertAlign val="subscript"/>
        <sz val="11"/>
        <rFont val="Calibri"/>
        <family val="2"/>
        <scheme val="minor"/>
      </rPr>
      <t>amb</t>
    </r>
  </si>
  <si>
    <t>G</t>
  </si>
  <si>
    <r>
      <t>P</t>
    </r>
    <r>
      <rPr>
        <vertAlign val="subscript"/>
        <sz val="11"/>
        <rFont val="Calibri"/>
        <family val="2"/>
        <scheme val="minor"/>
      </rPr>
      <t>2</t>
    </r>
  </si>
  <si>
    <r>
      <t>P</t>
    </r>
    <r>
      <rPr>
        <vertAlign val="subscript"/>
        <sz val="11"/>
        <rFont val="Calibri"/>
        <family val="2"/>
        <scheme val="minor"/>
      </rPr>
      <t>1</t>
    </r>
  </si>
  <si>
    <r>
      <t>Q</t>
    </r>
    <r>
      <rPr>
        <vertAlign val="subscript"/>
        <sz val="11"/>
        <rFont val="Calibri"/>
        <family val="2"/>
        <scheme val="minor"/>
      </rPr>
      <t>in</t>
    </r>
  </si>
  <si>
    <r>
      <t>T</t>
    </r>
    <r>
      <rPr>
        <vertAlign val="subscript"/>
        <sz val="11"/>
        <rFont val="Calibri"/>
        <family val="2"/>
        <scheme val="minor"/>
      </rPr>
      <t>7</t>
    </r>
  </si>
  <si>
    <r>
      <t>T</t>
    </r>
    <r>
      <rPr>
        <vertAlign val="subscript"/>
        <sz val="11"/>
        <rFont val="Calibri"/>
        <family val="2"/>
        <scheme val="minor"/>
      </rPr>
      <t>6</t>
    </r>
  </si>
  <si>
    <r>
      <t>T</t>
    </r>
    <r>
      <rPr>
        <vertAlign val="subscript"/>
        <sz val="11"/>
        <rFont val="Calibri"/>
        <family val="2"/>
        <scheme val="minor"/>
      </rPr>
      <t>5</t>
    </r>
  </si>
  <si>
    <r>
      <t>T</t>
    </r>
    <r>
      <rPr>
        <vertAlign val="subscript"/>
        <sz val="11"/>
        <rFont val="Calibri"/>
        <family val="2"/>
        <scheme val="minor"/>
      </rPr>
      <t>4</t>
    </r>
  </si>
  <si>
    <r>
      <t>T</t>
    </r>
    <r>
      <rPr>
        <vertAlign val="subscript"/>
        <sz val="11"/>
        <rFont val="Calibri"/>
        <family val="2"/>
        <scheme val="minor"/>
      </rPr>
      <t>3</t>
    </r>
  </si>
  <si>
    <r>
      <t>T</t>
    </r>
    <r>
      <rPr>
        <vertAlign val="subscript"/>
        <sz val="11"/>
        <rFont val="Calibri"/>
        <family val="2"/>
        <scheme val="minor"/>
      </rPr>
      <t>2</t>
    </r>
  </si>
  <si>
    <r>
      <t>T</t>
    </r>
    <r>
      <rPr>
        <vertAlign val="subscript"/>
        <sz val="11"/>
        <rFont val="Calibri"/>
        <family val="2"/>
        <scheme val="minor"/>
      </rPr>
      <t>1</t>
    </r>
  </si>
  <si>
    <t>FR</t>
  </si>
  <si>
    <t>Nome</t>
  </si>
  <si>
    <t>nuovo collettore T variabile disposizione B</t>
  </si>
  <si>
    <t>5g155WNC_SupIn_280612F</t>
  </si>
  <si>
    <t>5g70WNC_SupIn_270612F</t>
  </si>
  <si>
    <t>nuovo collettore disposizione B</t>
  </si>
  <si>
    <t>5g155WNC_T110_InfIn_210612F</t>
  </si>
  <si>
    <t>5g155WNC_T90_InfIn_220612F</t>
  </si>
  <si>
    <t>5g155WNC_T70_InfIn_220612F</t>
  </si>
  <si>
    <t>5g155WNC_T50_InfIn_250612F</t>
  </si>
  <si>
    <t>5g70WNC_T110_InfIn_190612F</t>
  </si>
  <si>
    <t>5g70WNC_T90_InfIn_190612F</t>
  </si>
  <si>
    <t>5g70WNC_T70_InfIn_200612F</t>
  </si>
  <si>
    <t>5g70WNC_T50_InfIn_200612F</t>
  </si>
  <si>
    <t>nuovo collettore T variabile disposizione A</t>
  </si>
  <si>
    <t>5g155WNC_InfIn_260612F</t>
  </si>
  <si>
    <t>5g70WNC_InfIn_260612F</t>
  </si>
  <si>
    <t>nuovo collettore disposizione A</t>
  </si>
  <si>
    <t>5g155W110T_170512F</t>
  </si>
  <si>
    <t>5g155W100T_170512F</t>
  </si>
  <si>
    <t>5g155W90T_170512F</t>
  </si>
  <si>
    <t>5g155W80T_170512F</t>
  </si>
  <si>
    <t>5g155W70T_170512F</t>
  </si>
  <si>
    <t>5g155W60T_170512F</t>
  </si>
  <si>
    <t>5g155W50T_170512F</t>
  </si>
  <si>
    <t>5g155W40T_180512F</t>
  </si>
  <si>
    <t>5g155W30T_180512F</t>
  </si>
  <si>
    <t>5g70W110T_150512F</t>
  </si>
  <si>
    <t>5g70W100T_150512F</t>
  </si>
  <si>
    <t>5g70W90T_150512F</t>
  </si>
  <si>
    <t>5g70W80T_150512F</t>
  </si>
  <si>
    <t>5g70W70T_150512F</t>
  </si>
  <si>
    <t>5g70W60T_150512F</t>
  </si>
  <si>
    <t>5g70W50T_150512F</t>
  </si>
  <si>
    <t>5g70W40T_160512F</t>
  </si>
  <si>
    <t>5g70W30T_160512F</t>
  </si>
  <si>
    <t>temperature collettore</t>
  </si>
  <si>
    <t>5g155W-3mbar_110412FR</t>
  </si>
  <si>
    <t>5g70W-3mbar_100412FR</t>
  </si>
  <si>
    <t>5g155W-2mbar_170412FR</t>
  </si>
  <si>
    <t>5g70W-2mbar_160412FR</t>
  </si>
  <si>
    <t>5g155W0mbar_160412FR</t>
  </si>
  <si>
    <t>5g70W0mbar_110412FR</t>
  </si>
  <si>
    <t>10g155W-3mbar_050412FR</t>
  </si>
  <si>
    <t>10g70W-3mbar_040412FR</t>
  </si>
  <si>
    <t>10g155W-2mbar_060412FR</t>
  </si>
  <si>
    <t>10g70W-2mbar_050412FR</t>
  </si>
  <si>
    <t>10g155W0mbar_020412FR</t>
  </si>
  <si>
    <t>10g70W0mbar_020412FR</t>
  </si>
  <si>
    <t>gradi di vuoto ripetizione</t>
  </si>
  <si>
    <t>5g155W-2mbar_270312F</t>
  </si>
  <si>
    <t>5g70W-2mbar_260312F</t>
  </si>
  <si>
    <t>5g155W-3mbar_200312F</t>
  </si>
  <si>
    <t>5g70W-3mbar_190312F</t>
  </si>
  <si>
    <t>5g155W0mbar_200312F</t>
  </si>
  <si>
    <t>5g70W0mbar_190312F</t>
  </si>
  <si>
    <t>10g155W-3mbar_190312F</t>
  </si>
  <si>
    <t>10g70W-3mbar_140312F</t>
  </si>
  <si>
    <t>10g155W-2mbar_120312F</t>
  </si>
  <si>
    <t>10g70W-2mbar_120312F</t>
  </si>
  <si>
    <t>10g155W0mbar_140312F</t>
  </si>
  <si>
    <t>10g70W0mbar_130312F</t>
  </si>
  <si>
    <t>gradi di vuoto</t>
  </si>
  <si>
    <t>20g155W_280212F</t>
  </si>
  <si>
    <t>20g70W_270212F</t>
  </si>
  <si>
    <t>15g155W_270212F</t>
  </si>
  <si>
    <t>15g70W_230212F</t>
  </si>
  <si>
    <t>10g155W_220212F</t>
  </si>
  <si>
    <t>10g70W_220212F</t>
  </si>
  <si>
    <t>8g155W_090212F</t>
  </si>
  <si>
    <t>8g70W_090212F</t>
  </si>
  <si>
    <t>6g155W_210212F</t>
  </si>
  <si>
    <t>6g70W_210212F</t>
  </si>
  <si>
    <t>6g155W_200212F</t>
  </si>
  <si>
    <t>6g70W_200212F</t>
  </si>
  <si>
    <t>5g155W_150212F</t>
  </si>
  <si>
    <t>5g70W_140212F</t>
  </si>
  <si>
    <t>4g70W_070312F</t>
  </si>
  <si>
    <t>4g155W_060312F</t>
  </si>
  <si>
    <t>4g155W_050312F</t>
  </si>
  <si>
    <t>4g155W_290212F</t>
  </si>
  <si>
    <t>4g155W_140212F</t>
  </si>
  <si>
    <t>4g70W_130212F</t>
  </si>
  <si>
    <t>3g155W_290212F</t>
  </si>
  <si>
    <t>3g70W_280212F</t>
  </si>
  <si>
    <t>SERIE 30°</t>
  </si>
  <si>
    <t>20g155_050810-o</t>
  </si>
  <si>
    <t>20g70_050810-o</t>
  </si>
  <si>
    <t>20g70_010910_O</t>
  </si>
  <si>
    <t>15g155_041110_o</t>
  </si>
  <si>
    <t>15g70_081110_o</t>
  </si>
  <si>
    <t>15g70_041110_O</t>
  </si>
  <si>
    <t>10g70_021110_o</t>
  </si>
  <si>
    <t>10g155_291010_o</t>
  </si>
  <si>
    <t>10g70_291010_o</t>
  </si>
  <si>
    <t>10g155_281010_o</t>
  </si>
  <si>
    <t>10g70_281010_o</t>
  </si>
  <si>
    <t>8g155_051110_O</t>
  </si>
  <si>
    <t>8g70_081110_O</t>
  </si>
  <si>
    <t>8g70_051110_O</t>
  </si>
  <si>
    <t>6g70_231110_o</t>
  </si>
  <si>
    <t>6g155_101110_o</t>
  </si>
  <si>
    <t>6g155_091110_o</t>
  </si>
  <si>
    <t>6g70_091110_o</t>
  </si>
  <si>
    <t>3g70301110-o</t>
  </si>
  <si>
    <t>3g70280710-o</t>
  </si>
  <si>
    <t>3g155280710-o</t>
  </si>
  <si>
    <t>20g155_310111N</t>
  </si>
  <si>
    <t>20g70_270111N</t>
  </si>
  <si>
    <t>15g155_270111N</t>
  </si>
  <si>
    <t>15g70_260111N</t>
  </si>
  <si>
    <t>10g155_260111N</t>
  </si>
  <si>
    <t>10g155_080211N</t>
  </si>
  <si>
    <t>10g155_040211N</t>
  </si>
  <si>
    <t>10g70_250111N</t>
  </si>
  <si>
    <t>10g70_070211N</t>
  </si>
  <si>
    <t>10g70_040211N</t>
  </si>
  <si>
    <t>8g155_250111N</t>
  </si>
  <si>
    <t>8g155_090311N</t>
  </si>
  <si>
    <t>8g120_110311N</t>
  </si>
  <si>
    <t>8g90_100311N</t>
  </si>
  <si>
    <t>8g80_150311N</t>
  </si>
  <si>
    <t>8g70____G8</t>
  </si>
  <si>
    <t>8g70_240311NG6</t>
  </si>
  <si>
    <t>8g70_250311NG5</t>
  </si>
  <si>
    <t>8g70____G4</t>
  </si>
  <si>
    <t>8g70____G3</t>
  </si>
  <si>
    <t>8g70_240111N</t>
  </si>
  <si>
    <t>8g70_080311N</t>
  </si>
  <si>
    <t>8g60_230311N</t>
  </si>
  <si>
    <t>8g50_100311N</t>
  </si>
  <si>
    <t>6g155_240111N</t>
  </si>
  <si>
    <t>6g70_210111N</t>
  </si>
  <si>
    <t>5g155_030211N</t>
  </si>
  <si>
    <t>5g155_010211N2</t>
  </si>
  <si>
    <t>5g155_010211N</t>
  </si>
  <si>
    <t>5g70_310111N</t>
  </si>
  <si>
    <t>5g70_170111N</t>
  </si>
  <si>
    <t>5g70_020211N2</t>
  </si>
  <si>
    <t>5g70_020211N</t>
  </si>
  <si>
    <t>4g155_2212210N</t>
  </si>
  <si>
    <t>4g155_2112210N</t>
  </si>
  <si>
    <t>4g155_210111N</t>
  </si>
  <si>
    <t>4g70_2112210N</t>
  </si>
  <si>
    <t>4g70_200111N</t>
  </si>
  <si>
    <t>3g155_200111N</t>
  </si>
  <si>
    <t>3g155_180211N</t>
  </si>
  <si>
    <t>3g155_161210N</t>
  </si>
  <si>
    <t>3g120_080211N</t>
  </si>
  <si>
    <t>3g90_140211N</t>
  </si>
  <si>
    <t>3g80_220211N</t>
  </si>
  <si>
    <t>3g70_190111N</t>
  </si>
  <si>
    <t>3g70_170211N</t>
  </si>
  <si>
    <t>3g70_151210N</t>
  </si>
  <si>
    <t>3g60_210211N</t>
  </si>
  <si>
    <t>3g50_090211N</t>
  </si>
  <si>
    <t>SERIE 45°</t>
  </si>
  <si>
    <t>5g</t>
  </si>
  <si>
    <t>10g</t>
  </si>
  <si>
    <t>3g</t>
  </si>
  <si>
    <t>4g</t>
  </si>
  <si>
    <t>8g</t>
  </si>
  <si>
    <t>15g</t>
  </si>
  <si>
    <t>20g</t>
  </si>
  <si>
    <t>6g</t>
  </si>
  <si>
    <r>
      <t>Q</t>
    </r>
    <r>
      <rPr>
        <vertAlign val="subscript"/>
        <sz val="11"/>
        <color theme="1"/>
        <rFont val="Calibri"/>
        <family val="2"/>
        <scheme val="minor"/>
      </rPr>
      <t>in</t>
    </r>
  </si>
  <si>
    <r>
      <t>Q</t>
    </r>
    <r>
      <rPr>
        <vertAlign val="subscript"/>
        <sz val="11"/>
        <color theme="1"/>
        <rFont val="Calibri"/>
        <family val="2"/>
        <scheme val="minor"/>
      </rPr>
      <t>out</t>
    </r>
  </si>
  <si>
    <t>grammi</t>
  </si>
  <si>
    <t>a</t>
  </si>
  <si>
    <t>b</t>
  </si>
  <si>
    <t>y=ax+b</t>
  </si>
  <si>
    <r>
      <t>[MJ/m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d]</t>
    </r>
  </si>
  <si>
    <r>
      <t>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</si>
  <si>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Q</t>
    </r>
    <r>
      <rPr>
        <vertAlign val="subscript"/>
        <sz val="11"/>
        <color theme="1"/>
        <rFont val="Calibri"/>
        <family val="2"/>
      </rPr>
      <t>in</t>
    </r>
  </si>
  <si>
    <r>
      <t>[W</t>
    </r>
    <r>
      <rPr>
        <sz val="11"/>
        <color theme="1"/>
        <rFont val="Calibri"/>
        <family val="2"/>
        <scheme val="minor"/>
      </rPr>
      <t>]</t>
    </r>
  </si>
  <si>
    <t>45°</t>
  </si>
  <si>
    <t>30°</t>
  </si>
  <si>
    <t>influenza FR</t>
  </si>
  <si>
    <r>
      <t>Q</t>
    </r>
    <r>
      <rPr>
        <vertAlign val="subscript"/>
        <sz val="11"/>
        <color theme="1"/>
        <rFont val="Calibri"/>
        <family val="2"/>
        <scheme val="minor"/>
      </rPr>
      <t xml:space="preserve">out </t>
    </r>
    <r>
      <rPr>
        <sz val="11"/>
        <color theme="1"/>
        <rFont val="Calibri"/>
        <family val="2"/>
        <scheme val="minor"/>
      </rPr>
      <t>[W]</t>
    </r>
  </si>
  <si>
    <t>dati di input</t>
  </si>
  <si>
    <t>dati di output</t>
  </si>
  <si>
    <t>influenza temperatura a monte del collettore</t>
  </si>
  <si>
    <r>
      <t>T</t>
    </r>
    <r>
      <rPr>
        <vertAlign val="subscript"/>
        <sz val="11"/>
        <color theme="1"/>
        <rFont val="Calibri"/>
        <family val="2"/>
        <scheme val="minor"/>
      </rPr>
      <t>in</t>
    </r>
  </si>
  <si>
    <t>grammatura ottimale</t>
  </si>
  <si>
    <r>
      <t>Massima Q</t>
    </r>
    <r>
      <rPr>
        <vertAlign val="subscript"/>
        <sz val="11"/>
        <color theme="1"/>
        <rFont val="Calibri"/>
        <family val="2"/>
        <scheme val="minor"/>
      </rPr>
      <t>out</t>
    </r>
    <r>
      <rPr>
        <sz val="11"/>
        <color theme="1"/>
        <rFont val="Calibri"/>
        <family val="2"/>
        <scheme val="minor"/>
      </rPr>
      <t xml:space="preserve"> annuale [kWh]</t>
    </r>
  </si>
  <si>
    <t>Nota: Inclinazione verso SUD (0°=SUD; 180°=NORD)</t>
  </si>
  <si>
    <t>Nota: Inclinazione di installazione del pannello solare termico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</si>
</sst>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000"/>
    <numFmt numFmtId="166" formatCode="0.00000"/>
    <numFmt numFmtId="167" formatCode="0.000000"/>
    <numFmt numFmtId="168" formatCode="0.0"/>
    <numFmt numFmtId="169" formatCode="0.00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0" fillId="2" borderId="2" xfId="0" applyFill="1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0" fillId="4" borderId="1" xfId="0" applyFill="1" applyBorder="1"/>
    <xf numFmtId="164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165" fontId="0" fillId="0" borderId="1" xfId="0" applyNumberFormat="1" applyFill="1" applyBorder="1"/>
    <xf numFmtId="166" fontId="0" fillId="0" borderId="1" xfId="0" applyNumberFormat="1" applyFont="1" applyFill="1" applyBorder="1"/>
    <xf numFmtId="166" fontId="0" fillId="0" borderId="1" xfId="0" applyNumberFormat="1" applyFill="1" applyBorder="1"/>
    <xf numFmtId="0" fontId="0" fillId="0" borderId="1" xfId="0" applyFill="1" applyBorder="1"/>
    <xf numFmtId="167" fontId="0" fillId="0" borderId="1" xfId="0" applyNumberFormat="1" applyFill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0" xfId="0" applyFill="1" applyBorder="1" applyAlignment="1"/>
    <xf numFmtId="0" fontId="0" fillId="0" borderId="1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5" fontId="0" fillId="0" borderId="0" xfId="0" applyNumberFormat="1" applyFill="1" applyBorder="1"/>
    <xf numFmtId="2" fontId="0" fillId="0" borderId="0" xfId="0" applyNumberFormat="1" applyFill="1" applyBorder="1"/>
    <xf numFmtId="0" fontId="0" fillId="0" borderId="0" xfId="0" applyFill="1" applyBorder="1" applyAlignment="1">
      <alignment horizontal="right"/>
    </xf>
    <xf numFmtId="165" fontId="0" fillId="0" borderId="0" xfId="0" applyNumberFormat="1" applyFill="1" applyBorder="1" applyAlignment="1">
      <alignment horizontal="center"/>
    </xf>
    <xf numFmtId="0" fontId="2" fillId="0" borderId="0" xfId="0" applyFont="1" applyFill="1" applyBorder="1" applyAlignment="1"/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quotePrefix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8" fontId="1" fillId="0" borderId="1" xfId="0" applyNumberFormat="1" applyFont="1" applyFill="1" applyBorder="1" applyAlignment="1">
      <alignment horizontal="center"/>
    </xf>
    <xf numFmtId="168" fontId="0" fillId="0" borderId="1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0" borderId="0" xfId="1" applyFont="1"/>
    <xf numFmtId="0" fontId="8" fillId="0" borderId="0" xfId="1" applyFont="1" applyFill="1" applyBorder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1" xfId="1" applyFont="1" applyBorder="1"/>
    <xf numFmtId="0" fontId="8" fillId="0" borderId="1" xfId="1" applyFont="1" applyBorder="1" applyAlignment="1">
      <alignment horizontal="center"/>
    </xf>
    <xf numFmtId="0" fontId="8" fillId="7" borderId="1" xfId="1" applyFont="1" applyFill="1" applyBorder="1" applyAlignment="1">
      <alignment horizontal="right"/>
    </xf>
    <xf numFmtId="0" fontId="8" fillId="5" borderId="1" xfId="1" applyFont="1" applyFill="1" applyBorder="1" applyAlignment="1">
      <alignment horizontal="center"/>
    </xf>
    <xf numFmtId="2" fontId="8" fillId="5" borderId="1" xfId="1" applyNumberFormat="1" applyFont="1" applyFill="1" applyBorder="1"/>
    <xf numFmtId="0" fontId="8" fillId="8" borderId="1" xfId="1" applyFont="1" applyFill="1" applyBorder="1" applyAlignment="1">
      <alignment horizontal="center"/>
    </xf>
    <xf numFmtId="0" fontId="8" fillId="8" borderId="1" xfId="1" applyFont="1" applyFill="1" applyBorder="1" applyAlignment="1">
      <alignment horizontal="right"/>
    </xf>
    <xf numFmtId="0" fontId="8" fillId="5" borderId="1" xfId="1" applyFont="1" applyFill="1" applyBorder="1" applyAlignment="1">
      <alignment horizontal="center" vertical="center"/>
    </xf>
    <xf numFmtId="167" fontId="8" fillId="0" borderId="1" xfId="1" applyNumberFormat="1" applyFont="1" applyBorder="1"/>
    <xf numFmtId="0" fontId="7" fillId="0" borderId="1" xfId="1" applyBorder="1" applyAlignment="1">
      <alignment horizontal="center"/>
    </xf>
    <xf numFmtId="0" fontId="8" fillId="0" borderId="1" xfId="2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0" fontId="7" fillId="0" borderId="1" xfId="1" applyBorder="1"/>
    <xf numFmtId="0" fontId="8" fillId="0" borderId="0" xfId="1" applyFont="1" applyFill="1" applyBorder="1" applyAlignment="1"/>
    <xf numFmtId="0" fontId="11" fillId="0" borderId="0" xfId="1" applyFont="1" applyFill="1" applyBorder="1" applyAlignment="1">
      <alignment horizontal="center"/>
    </xf>
    <xf numFmtId="164" fontId="7" fillId="0" borderId="1" xfId="1" applyNumberFormat="1" applyFill="1" applyBorder="1"/>
    <xf numFmtId="0" fontId="8" fillId="7" borderId="1" xfId="1" applyFont="1" applyFill="1" applyBorder="1" applyAlignment="1">
      <alignment horizontal="center"/>
    </xf>
    <xf numFmtId="164" fontId="8" fillId="0" borderId="1" xfId="2" applyNumberFormat="1" applyFont="1" applyFill="1" applyBorder="1" applyAlignment="1"/>
    <xf numFmtId="164" fontId="7" fillId="0" borderId="0" xfId="1" applyNumberFormat="1" applyFill="1" applyBorder="1"/>
    <xf numFmtId="0" fontId="8" fillId="0" borderId="0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164" fontId="7" fillId="0" borderId="1" xfId="1" applyNumberFormat="1" applyBorder="1"/>
    <xf numFmtId="0" fontId="8" fillId="4" borderId="1" xfId="1" applyFont="1" applyFill="1" applyBorder="1" applyAlignment="1">
      <alignment horizontal="right"/>
    </xf>
    <xf numFmtId="0" fontId="8" fillId="0" borderId="0" xfId="1" applyFont="1" applyFill="1"/>
    <xf numFmtId="0" fontId="7" fillId="0" borderId="1" xfId="1" applyFill="1" applyBorder="1"/>
    <xf numFmtId="2" fontId="8" fillId="0" borderId="1" xfId="1" applyNumberFormat="1" applyFont="1" applyFill="1" applyBorder="1" applyAlignment="1"/>
    <xf numFmtId="165" fontId="8" fillId="0" borderId="1" xfId="1" applyNumberFormat="1" applyFont="1" applyFill="1" applyBorder="1" applyAlignment="1">
      <alignment vertical="center"/>
    </xf>
    <xf numFmtId="2" fontId="8" fillId="0" borderId="1" xfId="1" applyNumberFormat="1" applyFont="1" applyFill="1" applyBorder="1" applyAlignment="1">
      <alignment vertical="center"/>
    </xf>
    <xf numFmtId="168" fontId="8" fillId="0" borderId="1" xfId="1" applyNumberFormat="1" applyFont="1" applyFill="1" applyBorder="1" applyAlignment="1">
      <alignment vertical="center"/>
    </xf>
    <xf numFmtId="1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/>
    <xf numFmtId="0" fontId="8" fillId="0" borderId="1" xfId="1" applyFont="1" applyFill="1" applyBorder="1" applyAlignment="1"/>
    <xf numFmtId="0" fontId="8" fillId="0" borderId="1" xfId="1" applyFont="1" applyFill="1" applyBorder="1" applyAlignment="1">
      <alignment vertical="center"/>
    </xf>
    <xf numFmtId="0" fontId="8" fillId="0" borderId="0" xfId="1" applyFont="1" applyFill="1" applyAlignment="1">
      <alignment horizontal="center"/>
    </xf>
    <xf numFmtId="0" fontId="7" fillId="0" borderId="1" xfId="1" applyFill="1" applyBorder="1" applyAlignment="1">
      <alignment horizontal="right"/>
    </xf>
    <xf numFmtId="2" fontId="8" fillId="0" borderId="1" xfId="2" applyNumberFormat="1" applyFont="1" applyFill="1" applyBorder="1" applyAlignment="1">
      <alignment horizontal="right"/>
    </xf>
    <xf numFmtId="0" fontId="6" fillId="7" borderId="1" xfId="1" applyFont="1" applyFill="1" applyBorder="1" applyAlignment="1">
      <alignment horizontal="right"/>
    </xf>
    <xf numFmtId="2" fontId="11" fillId="0" borderId="1" xfId="1" applyNumberFormat="1" applyFont="1" applyFill="1" applyBorder="1" applyAlignment="1">
      <alignment vertical="center"/>
    </xf>
    <xf numFmtId="0" fontId="6" fillId="7" borderId="1" xfId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vertical="center"/>
    </xf>
    <xf numFmtId="169" fontId="8" fillId="0" borderId="0" xfId="1" applyNumberFormat="1" applyFont="1" applyFill="1"/>
    <xf numFmtId="2" fontId="8" fillId="10" borderId="1" xfId="1" applyNumberFormat="1" applyFont="1" applyFill="1" applyBorder="1" applyAlignment="1"/>
    <xf numFmtId="2" fontId="8" fillId="0" borderId="1" xfId="1" applyNumberFormat="1" applyFont="1" applyBorder="1" applyAlignment="1"/>
    <xf numFmtId="165" fontId="8" fillId="0" borderId="1" xfId="1" applyNumberFormat="1" applyFont="1" applyBorder="1" applyAlignment="1">
      <alignment vertical="center"/>
    </xf>
    <xf numFmtId="2" fontId="8" fillId="0" borderId="1" xfId="1" applyNumberFormat="1" applyFont="1" applyBorder="1" applyAlignment="1">
      <alignment vertical="center"/>
    </xf>
    <xf numFmtId="168" fontId="8" fillId="0" borderId="1" xfId="1" applyNumberFormat="1" applyFont="1" applyBorder="1" applyAlignment="1">
      <alignment vertical="center"/>
    </xf>
    <xf numFmtId="1" fontId="8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/>
    <xf numFmtId="0" fontId="8" fillId="0" borderId="1" xfId="1" applyFont="1" applyBorder="1" applyAlignment="1">
      <alignment vertical="center"/>
    </xf>
    <xf numFmtId="0" fontId="8" fillId="0" borderId="1" xfId="1" applyFont="1" applyBorder="1" applyAlignment="1"/>
    <xf numFmtId="166" fontId="8" fillId="0" borderId="0" xfId="1" applyNumberFormat="1" applyFont="1"/>
    <xf numFmtId="2" fontId="8" fillId="0" borderId="0" xfId="1" applyNumberFormat="1" applyFont="1"/>
    <xf numFmtId="2" fontId="8" fillId="0" borderId="0" xfId="1" applyNumberFormat="1" applyFont="1" applyFill="1" applyBorder="1"/>
    <xf numFmtId="2" fontId="8" fillId="0" borderId="0" xfId="1" applyNumberFormat="1" applyFont="1" applyFill="1"/>
    <xf numFmtId="0" fontId="0" fillId="0" borderId="1" xfId="0" applyBorder="1" applyAlignment="1"/>
    <xf numFmtId="0" fontId="0" fillId="12" borderId="1" xfId="0" applyFill="1" applyBorder="1"/>
    <xf numFmtId="0" fontId="0" fillId="12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6" xfId="0" applyFill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12" borderId="21" xfId="0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5" fontId="8" fillId="0" borderId="0" xfId="1" applyNumberFormat="1" applyFont="1" applyFill="1" applyBorder="1"/>
    <xf numFmtId="0" fontId="0" fillId="7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15" borderId="1" xfId="0" applyNumberFormat="1" applyFill="1" applyBorder="1"/>
    <xf numFmtId="0" fontId="0" fillId="15" borderId="1" xfId="0" applyFill="1" applyBorder="1"/>
    <xf numFmtId="0" fontId="1" fillId="0" borderId="0" xfId="0" applyFont="1" applyFill="1" applyBorder="1" applyAlignment="1"/>
    <xf numFmtId="0" fontId="0" fillId="12" borderId="13" xfId="0" applyFill="1" applyBorder="1"/>
    <xf numFmtId="0" fontId="0" fillId="0" borderId="13" xfId="0" applyBorder="1"/>
    <xf numFmtId="0" fontId="0" fillId="0" borderId="25" xfId="0" applyBorder="1"/>
    <xf numFmtId="0" fontId="8" fillId="0" borderId="16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Alignment="1"/>
    <xf numFmtId="0" fontId="17" fillId="0" borderId="0" xfId="0" applyFo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15" borderId="21" xfId="0" applyFill="1" applyBorder="1" applyAlignment="1">
      <alignment horizontal="center"/>
    </xf>
    <xf numFmtId="0" fontId="0" fillId="15" borderId="22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8" fillId="9" borderId="2" xfId="1" applyFont="1" applyFill="1" applyBorder="1" applyAlignment="1">
      <alignment horizontal="center"/>
    </xf>
    <xf numFmtId="0" fontId="8" fillId="9" borderId="8" xfId="1" applyFont="1" applyFill="1" applyBorder="1" applyAlignment="1">
      <alignment horizontal="center"/>
    </xf>
    <xf numFmtId="0" fontId="8" fillId="9" borderId="6" xfId="1" applyFont="1" applyFill="1" applyBorder="1" applyAlignment="1">
      <alignment horizontal="center"/>
    </xf>
    <xf numFmtId="0" fontId="8" fillId="9" borderId="1" xfId="1" applyFont="1" applyFill="1" applyBorder="1" applyAlignment="1">
      <alignment horizontal="center"/>
    </xf>
    <xf numFmtId="0" fontId="0" fillId="13" borderId="15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0" fillId="13" borderId="13" xfId="0" applyFill="1" applyBorder="1" applyAlignment="1">
      <alignment horizontal="center"/>
    </xf>
    <xf numFmtId="0" fontId="0" fillId="13" borderId="2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5" borderId="1" xfId="0" applyFill="1" applyBorder="1" applyProtection="1">
      <protection locked="0"/>
    </xf>
    <xf numFmtId="0" fontId="0" fillId="5" borderId="2" xfId="0" applyFill="1" applyBorder="1" applyAlignment="1" applyProtection="1">
      <protection locked="0"/>
    </xf>
  </cellXfs>
  <cellStyles count="3">
    <cellStyle name="Normale" xfId="0" builtinId="0"/>
    <cellStyle name="Normale 2" xfId="1"/>
    <cellStyle name="Normale 2 2" xfId="2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 enableFormatConditionsCalculation="0"/>
  <dimension ref="A1:BZ59"/>
  <sheetViews>
    <sheetView tabSelected="1" zoomScale="150" zoomScaleNormal="150" zoomScalePageLayoutView="150" workbookViewId="0">
      <selection activeCell="E2" sqref="E2"/>
    </sheetView>
  </sheetViews>
  <sheetFormatPr defaultColWidth="8.85546875" defaultRowHeight="15" x14ac:dyDescent="0.25"/>
  <cols>
    <col min="1" max="1" width="5.7109375" customWidth="1"/>
    <col min="2" max="2" width="6" customWidth="1"/>
    <col min="3" max="3" width="6.42578125" customWidth="1"/>
    <col min="4" max="4" width="7.28515625" customWidth="1"/>
    <col min="5" max="5" width="50.5703125" customWidth="1"/>
    <col min="6" max="6" width="10" customWidth="1"/>
    <col min="7" max="7" width="14.42578125" customWidth="1"/>
    <col min="8" max="8" width="11" customWidth="1"/>
    <col min="9" max="9" width="11.85546875" customWidth="1"/>
    <col min="10" max="10" width="11.42578125" customWidth="1"/>
    <col min="11" max="11" width="16.140625" customWidth="1"/>
    <col min="12" max="12" width="10.7109375" customWidth="1"/>
    <col min="13" max="13" width="11.140625" customWidth="1"/>
    <col min="14" max="14" width="13.140625" customWidth="1"/>
    <col min="15" max="15" width="10.85546875" customWidth="1"/>
    <col min="16" max="16" width="10.42578125" customWidth="1"/>
    <col min="17" max="17" width="11.7109375" customWidth="1"/>
    <col min="18" max="18" width="9.140625" customWidth="1"/>
    <col min="19" max="19" width="10.28515625" customWidth="1"/>
    <col min="20" max="20" width="9.42578125" customWidth="1"/>
    <col min="21" max="21" width="12.42578125" customWidth="1"/>
    <col min="22" max="22" width="14.7109375" customWidth="1"/>
    <col min="23" max="23" width="15.7109375" customWidth="1"/>
    <col min="24" max="24" width="9.140625" customWidth="1"/>
    <col min="25" max="25" width="12" customWidth="1"/>
    <col min="26" max="26" width="9.140625" customWidth="1"/>
    <col min="27" max="27" width="12.140625" customWidth="1"/>
    <col min="28" max="28" width="13.42578125" customWidth="1"/>
    <col min="29" max="30" width="9.140625" customWidth="1"/>
    <col min="31" max="31" width="10.7109375" customWidth="1"/>
    <col min="32" max="32" width="9.140625" customWidth="1"/>
    <col min="33" max="33" width="10.42578125" bestFit="1" customWidth="1"/>
    <col min="34" max="35" width="10.42578125" customWidth="1"/>
    <col min="36" max="36" width="10.42578125" style="22" customWidth="1"/>
    <col min="37" max="37" width="8.85546875" style="22"/>
    <col min="38" max="38" width="11.42578125" style="22" bestFit="1" customWidth="1"/>
    <col min="39" max="39" width="18.7109375" style="22" customWidth="1"/>
    <col min="40" max="40" width="9.7109375" style="22" bestFit="1" customWidth="1"/>
    <col min="41" max="41" width="11.42578125" style="57" customWidth="1"/>
    <col min="42" max="42" width="9.140625" style="22" customWidth="1"/>
    <col min="43" max="47" width="8.85546875" style="22"/>
    <col min="48" max="49" width="11.42578125" style="22" customWidth="1"/>
    <col min="50" max="50" width="11.140625" style="22" customWidth="1"/>
    <col min="51" max="51" width="10.7109375" style="22" customWidth="1"/>
    <col min="52" max="55" width="8.85546875" style="22"/>
    <col min="56" max="56" width="8.85546875" style="136"/>
    <col min="57" max="59" width="8.85546875" style="22"/>
    <col min="60" max="61" width="13.42578125" style="22" customWidth="1"/>
    <col min="62" max="65" width="8.85546875" style="22"/>
    <col min="66" max="66" width="15.140625" style="22" customWidth="1"/>
    <col min="67" max="67" width="13.42578125" style="22" customWidth="1"/>
    <col min="68" max="71" width="8.85546875" style="22"/>
    <col min="72" max="72" width="14" style="22" customWidth="1"/>
    <col min="73" max="73" width="12.42578125" style="22" customWidth="1"/>
    <col min="74" max="74" width="12.7109375" style="22" customWidth="1"/>
    <col min="75" max="77" width="8.85546875" style="22"/>
    <col min="78" max="78" width="14.140625" style="22" customWidth="1"/>
  </cols>
  <sheetData>
    <row r="1" spans="1:77" ht="15.75" customHeight="1" thickBot="1" x14ac:dyDescent="0.3">
      <c r="E1" s="6" t="s">
        <v>6</v>
      </c>
    </row>
    <row r="2" spans="1:77" ht="16.5" customHeight="1" x14ac:dyDescent="0.35">
      <c r="E2" s="189" t="s">
        <v>134</v>
      </c>
      <c r="J2" s="161" t="s">
        <v>423</v>
      </c>
      <c r="K2" s="156"/>
      <c r="L2" s="156" t="s">
        <v>422</v>
      </c>
      <c r="M2" s="157"/>
    </row>
    <row r="3" spans="1:77" ht="15.75" thickBot="1" x14ac:dyDescent="0.3">
      <c r="A3" s="162" t="s">
        <v>418</v>
      </c>
      <c r="B3" s="162"/>
      <c r="C3" s="162"/>
      <c r="J3" s="160">
        <f>ROUND(MAX(AL31:AS31),2)</f>
        <v>1292.58</v>
      </c>
      <c r="K3" s="158"/>
      <c r="L3" s="158" t="str">
        <f>HLOOKUP(J3,AL31:AS32,2,FALSE)</f>
        <v>5g</v>
      </c>
      <c r="M3" s="159"/>
    </row>
    <row r="4" spans="1:77" x14ac:dyDescent="0.25">
      <c r="A4" s="163" t="s">
        <v>419</v>
      </c>
      <c r="B4" s="163"/>
      <c r="C4" s="163"/>
      <c r="E4" s="4" t="s">
        <v>0</v>
      </c>
      <c r="F4" s="7" t="s">
        <v>27</v>
      </c>
      <c r="G4" s="3">
        <f>VLOOKUP($E2,'dati normativa'!B4:E104,4,FALSE)</f>
        <v>42.35</v>
      </c>
      <c r="H4" s="11" t="s">
        <v>30</v>
      </c>
    </row>
    <row r="5" spans="1:77" x14ac:dyDescent="0.25">
      <c r="E5" s="4" t="s">
        <v>1</v>
      </c>
      <c r="F5" s="7" t="s">
        <v>28</v>
      </c>
      <c r="G5" s="189">
        <v>45</v>
      </c>
      <c r="H5" s="11" t="s">
        <v>30</v>
      </c>
      <c r="I5" s="149" t="s">
        <v>425</v>
      </c>
    </row>
    <row r="6" spans="1:77" x14ac:dyDescent="0.25">
      <c r="E6" s="4" t="s">
        <v>2</v>
      </c>
      <c r="F6" s="7" t="s">
        <v>29</v>
      </c>
      <c r="G6" s="189">
        <v>0</v>
      </c>
      <c r="H6" s="11" t="s">
        <v>30</v>
      </c>
      <c r="I6" s="149" t="s">
        <v>424</v>
      </c>
    </row>
    <row r="7" spans="1:77" ht="18" x14ac:dyDescent="0.35">
      <c r="E7" s="4" t="s">
        <v>3</v>
      </c>
      <c r="F7" s="7" t="s">
        <v>135</v>
      </c>
      <c r="G7" s="3">
        <v>1353</v>
      </c>
      <c r="H7" s="11" t="s">
        <v>4</v>
      </c>
    </row>
    <row r="10" spans="1:77" x14ac:dyDescent="0.25">
      <c r="E10" s="6" t="s">
        <v>5</v>
      </c>
    </row>
    <row r="11" spans="1:77" x14ac:dyDescent="0.25">
      <c r="E11" s="190" t="s">
        <v>165</v>
      </c>
      <c r="F11" s="3">
        <f>VLOOKUP($E11,'dati normativa'!DH2:DI16,2,FALSE)</f>
        <v>0.2</v>
      </c>
      <c r="H11" s="30"/>
      <c r="I11" s="30"/>
      <c r="J11" s="147"/>
      <c r="K11" s="147"/>
      <c r="L11" s="147"/>
      <c r="M11" s="147"/>
      <c r="N11" s="147"/>
      <c r="O11" s="147"/>
      <c r="P11" s="147"/>
    </row>
    <row r="12" spans="1:77" x14ac:dyDescent="0.25">
      <c r="J12" s="147"/>
      <c r="K12" s="147"/>
      <c r="L12" s="147"/>
      <c r="M12" s="147"/>
      <c r="N12" s="147"/>
      <c r="O12" s="147"/>
      <c r="P12" s="147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</row>
    <row r="13" spans="1:77" ht="15.75" thickBot="1" x14ac:dyDescent="0.3">
      <c r="J13" s="148"/>
      <c r="K13" s="148"/>
      <c r="L13" s="148"/>
      <c r="M13" s="148"/>
      <c r="N13" s="148"/>
      <c r="O13" s="148"/>
      <c r="P13" s="148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</row>
    <row r="14" spans="1:77" x14ac:dyDescent="0.25">
      <c r="R14" s="164" t="s">
        <v>37</v>
      </c>
      <c r="S14" s="165"/>
      <c r="T14" s="165"/>
      <c r="U14" s="165"/>
      <c r="V14" s="165"/>
      <c r="W14" s="166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</row>
    <row r="15" spans="1:77" x14ac:dyDescent="0.25">
      <c r="R15" s="3"/>
      <c r="S15" s="3"/>
      <c r="T15" s="167" t="s">
        <v>36</v>
      </c>
      <c r="U15" s="168"/>
      <c r="V15" s="167" t="s">
        <v>36</v>
      </c>
      <c r="W15" s="168"/>
      <c r="X15" s="1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F15" s="141"/>
      <c r="BG15" s="30"/>
      <c r="BH15" s="141"/>
      <c r="BI15" s="30"/>
      <c r="BL15" s="141"/>
      <c r="BM15" s="30"/>
      <c r="BN15" s="151"/>
      <c r="BO15" s="150"/>
      <c r="BP15" s="150"/>
      <c r="BQ15" s="150"/>
      <c r="BR15" s="150"/>
      <c r="BS15" s="150"/>
      <c r="BT15" s="150"/>
      <c r="BU15" s="150"/>
      <c r="BW15" s="150"/>
      <c r="BX15" s="150"/>
      <c r="BY15" s="150"/>
    </row>
    <row r="16" spans="1:77" x14ac:dyDescent="0.25">
      <c r="P16" s="2"/>
      <c r="Q16" s="2"/>
      <c r="R16" s="167" t="s">
        <v>33</v>
      </c>
      <c r="S16" s="168"/>
      <c r="T16" s="168" t="s">
        <v>34</v>
      </c>
      <c r="U16" s="168"/>
      <c r="V16" s="168" t="s">
        <v>35</v>
      </c>
      <c r="W16" s="168"/>
      <c r="X16" s="1"/>
      <c r="Y16" s="1"/>
      <c r="AA16" s="154" t="str">
        <f>E2</f>
        <v>L'Aquila</v>
      </c>
      <c r="AB16" s="155"/>
      <c r="AJ16" s="30"/>
      <c r="AK16" s="30"/>
      <c r="AL16" s="153" t="s">
        <v>416</v>
      </c>
      <c r="AM16" s="153"/>
      <c r="AN16" s="153"/>
      <c r="AO16" s="153"/>
      <c r="AP16" s="153"/>
      <c r="AQ16" s="153"/>
      <c r="AR16" s="153"/>
      <c r="AS16" s="153"/>
      <c r="AT16" s="30"/>
      <c r="AU16" s="30"/>
      <c r="AV16" s="153" t="s">
        <v>420</v>
      </c>
      <c r="AW16" s="153"/>
      <c r="AX16" s="153"/>
      <c r="AY16" s="153"/>
      <c r="AZ16" s="153"/>
      <c r="BA16" s="153"/>
      <c r="BB16" s="153"/>
      <c r="BC16" s="153"/>
      <c r="BD16" s="153"/>
      <c r="BE16" s="30"/>
      <c r="BF16" s="30"/>
      <c r="BG16" s="30"/>
      <c r="BH16" s="30"/>
      <c r="BI16" s="30"/>
      <c r="BJ16" s="141"/>
      <c r="BK16" s="30"/>
      <c r="BL16" s="30"/>
      <c r="BM16" s="30"/>
      <c r="BN16" s="150"/>
      <c r="BO16" s="150"/>
      <c r="BP16" s="150"/>
      <c r="BQ16" s="150"/>
      <c r="BR16" s="150"/>
      <c r="BS16" s="150"/>
      <c r="BT16" s="150"/>
      <c r="BU16" s="150"/>
      <c r="BW16" s="150"/>
      <c r="BX16" s="150"/>
      <c r="BY16" s="150"/>
    </row>
    <row r="17" spans="5:78" ht="18" x14ac:dyDescent="0.35">
      <c r="F17" s="25" t="s">
        <v>19</v>
      </c>
      <c r="G17" s="5" t="s">
        <v>21</v>
      </c>
      <c r="H17" s="5" t="s">
        <v>136</v>
      </c>
      <c r="I17" s="25" t="s">
        <v>23</v>
      </c>
      <c r="J17" s="25" t="s">
        <v>24</v>
      </c>
      <c r="K17" s="25" t="s">
        <v>25</v>
      </c>
      <c r="L17" s="25" t="s">
        <v>137</v>
      </c>
      <c r="M17" s="25" t="s">
        <v>138</v>
      </c>
      <c r="N17" s="5" t="s">
        <v>139</v>
      </c>
      <c r="O17" s="5" t="s">
        <v>26</v>
      </c>
      <c r="P17" s="5" t="s">
        <v>140</v>
      </c>
      <c r="Q17" s="5" t="s">
        <v>141</v>
      </c>
      <c r="R17" s="5" t="s">
        <v>31</v>
      </c>
      <c r="S17" s="5" t="s">
        <v>32</v>
      </c>
      <c r="T17" s="5" t="s">
        <v>31</v>
      </c>
      <c r="U17" s="5" t="s">
        <v>32</v>
      </c>
      <c r="V17" s="5" t="s">
        <v>31</v>
      </c>
      <c r="W17" s="5" t="s">
        <v>32</v>
      </c>
      <c r="X17" s="5" t="s">
        <v>142</v>
      </c>
      <c r="Y17" s="5" t="s">
        <v>143</v>
      </c>
      <c r="Z17" s="5" t="s">
        <v>144</v>
      </c>
      <c r="AA17" s="5" t="s">
        <v>145</v>
      </c>
      <c r="AB17" s="5" t="s">
        <v>146</v>
      </c>
      <c r="AC17" s="5" t="s">
        <v>147</v>
      </c>
      <c r="AD17" s="5" t="s">
        <v>148</v>
      </c>
      <c r="AE17" s="5" t="s">
        <v>149</v>
      </c>
      <c r="AF17" s="5" t="s">
        <v>40</v>
      </c>
      <c r="AG17" s="5" t="s">
        <v>150</v>
      </c>
      <c r="AH17" s="5" t="s">
        <v>412</v>
      </c>
      <c r="AI17" s="5" t="s">
        <v>412</v>
      </c>
      <c r="AJ17" s="32"/>
      <c r="AK17" s="32"/>
      <c r="AL17" s="152" t="s">
        <v>417</v>
      </c>
      <c r="AM17" s="152"/>
      <c r="AN17" s="152"/>
      <c r="AO17" s="152"/>
      <c r="AP17" s="152"/>
      <c r="AQ17" s="152"/>
      <c r="AR17" s="152"/>
      <c r="AS17" s="152"/>
      <c r="AT17" s="33"/>
      <c r="AU17" s="33"/>
      <c r="AV17" s="152" t="s">
        <v>417</v>
      </c>
      <c r="AW17" s="152"/>
      <c r="AX17" s="152"/>
      <c r="AY17" s="152"/>
      <c r="AZ17" s="152"/>
      <c r="BA17" s="152"/>
      <c r="BB17" s="152"/>
      <c r="BC17" s="152"/>
      <c r="BD17" s="15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3"/>
      <c r="BS17" s="33"/>
      <c r="BT17" s="34"/>
      <c r="BU17" s="34"/>
      <c r="BV17" s="34"/>
      <c r="BW17" s="34"/>
      <c r="BX17" s="32"/>
      <c r="BY17" s="32"/>
      <c r="BZ17" s="32"/>
    </row>
    <row r="18" spans="5:78" ht="17.25" x14ac:dyDescent="0.25">
      <c r="F18" s="41" t="s">
        <v>20</v>
      </c>
      <c r="G18" s="41" t="s">
        <v>22</v>
      </c>
      <c r="H18" s="41" t="s">
        <v>410</v>
      </c>
      <c r="I18" s="41" t="s">
        <v>20</v>
      </c>
      <c r="J18" s="41" t="s">
        <v>20</v>
      </c>
      <c r="K18" s="41" t="s">
        <v>20</v>
      </c>
      <c r="L18" s="41" t="s">
        <v>20</v>
      </c>
      <c r="M18" s="41" t="s">
        <v>20</v>
      </c>
      <c r="N18" s="41" t="s">
        <v>22</v>
      </c>
      <c r="O18" s="41"/>
      <c r="P18" s="41" t="s">
        <v>22</v>
      </c>
      <c r="Q18" s="41" t="s">
        <v>22</v>
      </c>
      <c r="R18" s="41" t="s">
        <v>22</v>
      </c>
      <c r="S18" s="41" t="s">
        <v>22</v>
      </c>
      <c r="T18" s="41" t="s">
        <v>22</v>
      </c>
      <c r="U18" s="41" t="s">
        <v>22</v>
      </c>
      <c r="V18" s="41" t="s">
        <v>22</v>
      </c>
      <c r="W18" s="41" t="s">
        <v>22</v>
      </c>
      <c r="X18" s="41" t="s">
        <v>411</v>
      </c>
      <c r="Y18" s="41" t="s">
        <v>411</v>
      </c>
      <c r="Z18" s="41" t="s">
        <v>39</v>
      </c>
      <c r="AA18" s="41" t="s">
        <v>410</v>
      </c>
      <c r="AB18" s="41" t="s">
        <v>410</v>
      </c>
      <c r="AC18" s="41" t="s">
        <v>410</v>
      </c>
      <c r="AD18" s="41"/>
      <c r="AE18" s="41" t="s">
        <v>39</v>
      </c>
      <c r="AF18" s="41" t="s">
        <v>39</v>
      </c>
      <c r="AG18" s="41" t="s">
        <v>410</v>
      </c>
      <c r="AH18" s="41" t="s">
        <v>411</v>
      </c>
      <c r="AI18" s="41" t="s">
        <v>413</v>
      </c>
      <c r="AL18" s="123" t="s">
        <v>398</v>
      </c>
      <c r="AM18" s="123" t="s">
        <v>399</v>
      </c>
      <c r="AN18" s="123" t="s">
        <v>396</v>
      </c>
      <c r="AO18" s="123" t="s">
        <v>403</v>
      </c>
      <c r="AP18" s="123" t="s">
        <v>400</v>
      </c>
      <c r="AQ18" s="124" t="s">
        <v>397</v>
      </c>
      <c r="AR18" s="124" t="s">
        <v>401</v>
      </c>
      <c r="AS18" s="124" t="s">
        <v>402</v>
      </c>
      <c r="AV18" s="123">
        <v>30</v>
      </c>
      <c r="AW18" s="123">
        <v>40</v>
      </c>
      <c r="AX18" s="123">
        <v>50</v>
      </c>
      <c r="AY18" s="123">
        <v>60</v>
      </c>
      <c r="AZ18" s="123">
        <v>70</v>
      </c>
      <c r="BA18" s="123">
        <v>80</v>
      </c>
      <c r="BB18" s="123">
        <v>90</v>
      </c>
      <c r="BC18" s="123">
        <v>100</v>
      </c>
      <c r="BD18" s="123">
        <v>110</v>
      </c>
      <c r="BE18" s="135"/>
    </row>
    <row r="19" spans="5:78" x14ac:dyDescent="0.25">
      <c r="E19" s="8" t="s">
        <v>7</v>
      </c>
      <c r="F19" s="18">
        <v>17</v>
      </c>
      <c r="G19" s="15">
        <f>23.45*SIN(RADIANS(360*(284+F19)/365))</f>
        <v>-20.916962574476418</v>
      </c>
      <c r="H19" s="16">
        <f>((24*3600*10^-6)/PI())*$G$7*(1+0.033*COS(RADIANS((360*F19)/365)))*((L19*2*PI()*N19)/360+M19*SIN(RADIANS(N19)))</f>
        <v>13.622732481323663</v>
      </c>
      <c r="I19" s="17">
        <f>SIN(RADIANS(G19))*(SIN(RADIANS($G$4))*COS(RADIANS($G$5))-COS(RADIANS($G$4))*SIN(RADIANS($G$5))*COS(RADIANS($G$6)))</f>
        <v>1.6506474180256216E-2</v>
      </c>
      <c r="J19" s="19">
        <f>COS(RADIANS(G19))*(COS(RADIANS($G$4))*COS(RADIANS($G$5))+SIN(RADIANS($G$4))*SIN(RADIANS($G$5))*COS(RADIANS($G$6)))</f>
        <v>0.93309989739002186</v>
      </c>
      <c r="K19" s="12">
        <f>COS(RADIANS(G19))*(SIN(RADIANS($G$5))*SIN(RADIANS($G$6)))</f>
        <v>0</v>
      </c>
      <c r="L19" s="17">
        <f>SIN(RADIANS(G19))*(SIN(RADIANS($G$4)))</f>
        <v>-0.2405056081968939</v>
      </c>
      <c r="M19" s="19">
        <f>COS(RADIANS(G19))*(COS(RADIANS($G$4)))</f>
        <v>0.69033966061972252</v>
      </c>
      <c r="N19" s="17">
        <f>ACOS(-(TAN(RADIANS($G$4)))*(TAN(RADIANS(G19))))*(180/(PI()))</f>
        <v>69.611289794442982</v>
      </c>
      <c r="O19" s="13">
        <f>($J19^2+$K19^2-$I19^2)</f>
        <v>0.87040295481940588</v>
      </c>
      <c r="P19" s="13">
        <f>IF($K19*COS(2*(ATAN((-$K19+SQRT($O19))/($I19-$J19))))&gt;$J19*SIN(2*(ATAN((-$K19+SQRT($O19))/($I19-$J19)))),2*(ATAN((-$K19+SQRT($O19))/($I19-$J19)))*(180/PI()))</f>
        <v>-91.01361134108744</v>
      </c>
      <c r="Q19" s="13">
        <f>IF($K19*COS(2*(ATAN((-$K19+SQRT($O19))/($I19-$J19))))&gt;$J19*SIN(2*(ATAN((-$K19+SQRT($O19))/($I19-$J19)))),2*(ATAN((-$K19-SQRT($O19))/($I19-$J19)))*(180/PI()))</f>
        <v>91.01361134108744</v>
      </c>
      <c r="R19" s="13">
        <f>IF(ABS(P19)&lt;ABS(N19),P19,-N19)</f>
        <v>-69.611289794442982</v>
      </c>
      <c r="S19" s="13">
        <f>IF(ABS(Q19)&lt;ABS(N19),Q19,N19)</f>
        <v>69.611289794442982</v>
      </c>
      <c r="T19" s="13">
        <f>IF($I19+$J19&gt;0,-$N19)</f>
        <v>-69.611289794442982</v>
      </c>
      <c r="U19" s="13">
        <f>IF($I19+$J19&gt;0,$N19)</f>
        <v>69.611289794442982</v>
      </c>
      <c r="V19" s="14" t="s">
        <v>38</v>
      </c>
      <c r="W19" s="31" t="s">
        <v>38</v>
      </c>
      <c r="X19" s="13">
        <f t="shared" ref="X19:X30" si="0">2*$G$7*($L19*PI()*N19/180+$M19*SIN(RADIANS(N19)))</f>
        <v>960.3295195559524</v>
      </c>
      <c r="Y19" s="13">
        <f>$G$7*($I19*PI()*($S19-$R19)/180+$J19*(SIN(RADIANS(S19))-SIN(RADIANS(R19)))-K19*(COS(RADIANS(S19))-COS(RADIANS(R19))))</f>
        <v>2421.0481295373615</v>
      </c>
      <c r="Z19" s="12">
        <f>Y19/X19</f>
        <v>2.5210597823305818</v>
      </c>
      <c r="AA19" s="3">
        <f>HLOOKUP($E$2,'dati normativa'!$J$1:$DF$25,3,FALSE)</f>
        <v>3.2</v>
      </c>
      <c r="AB19" s="3">
        <f>HLOOKUP($E$2,'dati normativa'!$J$1:$DF$25,2,FALSE)</f>
        <v>2.8</v>
      </c>
      <c r="AC19" s="13">
        <f>AA19+AB19</f>
        <v>6</v>
      </c>
      <c r="AD19" s="12">
        <f>AC19/H19</f>
        <v>0.44044027203982838</v>
      </c>
      <c r="AE19" s="13">
        <f>0.881-0.972*AD19</f>
        <v>0.45289205557728685</v>
      </c>
      <c r="AF19" s="15">
        <f>(1-AE19)*Z19+AE19*(1+COS(RADIANS($G$5)))/2+$F$11*(1-COS(RADIANS($G$5)))/2</f>
        <v>1.7951487067697531</v>
      </c>
      <c r="AG19" s="139">
        <f>(AF19*AC19)</f>
        <v>10.770892240618519</v>
      </c>
      <c r="AH19" s="139">
        <f>(AG19*10^6)/(24*3600)</f>
        <v>124.66310463678842</v>
      </c>
      <c r="AI19" s="139">
        <f t="shared" ref="AI19:AI30" si="1">AH19*0.1576</f>
        <v>19.646905290757854</v>
      </c>
      <c r="AL19" s="18">
        <f>('risultati intermedi'!$R$3*calcolo!$AI19+'risultati intermedi'!$S$3)+(($G$5-45)/(30-45))*(('risultati intermedi'!$R$11*calcolo!$AI19+'risultati intermedi'!$S$11)-('risultati intermedi'!$R$3*calcolo!$AI19+'risultati intermedi'!$S$3))</f>
        <v>1.8147683784027304</v>
      </c>
      <c r="AM19" s="18">
        <f>('risultati intermedi'!$R$4*calcolo!$AI19+'risultati intermedi'!$S$4)+(($G$5-45)/(30-45))*(('risultati intermedi'!$R$12*calcolo!$AI19+'risultati intermedi'!$S$12)-('risultati intermedi'!$R$4*calcolo!$AI19+'risultati intermedi'!$S$4))</f>
        <v>2.4191567825829008</v>
      </c>
      <c r="AN19" s="18">
        <f>('risultati intermedi'!$R$5*calcolo!$AI19+'risultati intermedi'!$S$5)+(($G$5-45)/(30-45))*(('risultati intermedi'!$R$13*calcolo!$AI19+'risultati intermedi'!$S$13)-('risultati intermedi'!$R$5*calcolo!$AI19+'risultati intermedi'!$S$5))</f>
        <v>5.5731027185694089</v>
      </c>
      <c r="AO19" s="18">
        <f>('risultati intermedi'!$R$6*calcolo!$AI19+'risultati intermedi'!$S$6)+(($G$5-45)/(30-45))*(('risultati intermedi'!$R$14*calcolo!$AI19+'risultati intermedi'!$S$14)-('risultati intermedi'!$R$6*calcolo!$AI19+'risultati intermedi'!$S$6))</f>
        <v>2.4498189377734541</v>
      </c>
      <c r="AP19" s="18">
        <f>('risultati intermedi'!$R$7*calcolo!$AI19+'risultati intermedi'!$S$7)+(($G$5-45)/(30-45))*(('risultati intermedi'!$R$15*calcolo!$AI19+'risultati intermedi'!$S$15)-('risultati intermedi'!$R$7*calcolo!$AI19+'risultati intermedi'!$S$7))</f>
        <v>1.9873093552807184</v>
      </c>
      <c r="AQ19" s="18">
        <f>('risultati intermedi'!$R$8*calcolo!$AI19+'risultati intermedi'!$S$8)+(($G$5-45)/(30-45))*(('risultati intermedi'!$R$15*calcolo!$AI19+'risultati intermedi'!$S$15)-('risultati intermedi'!$R$8*calcolo!$AI19+'risultati intermedi'!$S$8))</f>
        <v>3.8638176327448939</v>
      </c>
      <c r="AR19" s="18">
        <f>('risultati intermedi'!$R$9*calcolo!$AI19+'risultati intermedi'!$S$9)+(($G$5-45)/(30-45))*(('risultati intermedi'!$R$16*calcolo!$AI19+'risultati intermedi'!$S$16)-('risultati intermedi'!$R$9*calcolo!$AI19+'risultati intermedi'!$S$9))</f>
        <v>3.4355896314338974</v>
      </c>
      <c r="AS19" s="18">
        <f>('risultati intermedi'!$R$10*calcolo!$AI19+'risultati intermedi'!$S$10)+(($G$5-45)/(30-45))*(('risultati intermedi'!$R$17*calcolo!$AI19+'risultati intermedi'!$S$17)-('risultati intermedi'!$R$10*calcolo!$AI19+'risultati intermedi'!$S$10))</f>
        <v>2.3766567457329746</v>
      </c>
      <c r="AT19" s="35"/>
      <c r="AU19" s="35"/>
      <c r="AV19" s="18">
        <f>'risultati intermedi'!$R$19*calcolo!$AI19+'risultati intermedi'!$S$19</f>
        <v>1.9929109213149871</v>
      </c>
      <c r="AW19" s="18">
        <f>'risultati intermedi'!$R$20*calcolo!$AI19+'risultati intermedi'!$S$20</f>
        <v>2.0675137923778166</v>
      </c>
      <c r="AX19" s="18">
        <f>'risultati intermedi'!$R$21*calcolo!$AI19+'risultati intermedi'!$S$21</f>
        <v>-1.3599517558869891</v>
      </c>
      <c r="AY19" s="18">
        <f>'risultati intermedi'!$R$22*calcolo!$AI19+'risultati intermedi'!$S$22</f>
        <v>0.13519731216806008</v>
      </c>
      <c r="AZ19" s="18">
        <f>'risultati intermedi'!$R$23*calcolo!$AI19+'risultati intermedi'!$S$23</f>
        <v>-4.1410877736564515</v>
      </c>
      <c r="BA19" s="18">
        <f>'risultati intermedi'!$R$24*calcolo!$AI19+'risultati intermedi'!$S$24</f>
        <v>-3.5870738287852149</v>
      </c>
      <c r="BB19" s="18">
        <f>'risultati intermedi'!$R$25*calcolo!$AI19+'risultati intermedi'!$S$25</f>
        <v>0.15750286800659907</v>
      </c>
      <c r="BC19" s="18">
        <f>'risultati intermedi'!$R$26*calcolo!$AI19+'risultati intermedi'!$S$26</f>
        <v>-6.7175380720214619</v>
      </c>
      <c r="BD19" s="18">
        <f>'risultati intermedi'!$R$27*calcolo!$AI19+'risultati intermedi'!$S$27</f>
        <v>-5.4260071249290398</v>
      </c>
      <c r="BE19" s="37"/>
      <c r="BF19" s="37"/>
      <c r="BG19" s="37"/>
      <c r="BH19" s="38"/>
      <c r="BI19" s="38"/>
      <c r="BJ19" s="37"/>
      <c r="BK19" s="37"/>
      <c r="BL19" s="37"/>
      <c r="BM19" s="37"/>
      <c r="BN19" s="38"/>
      <c r="BO19" s="38"/>
      <c r="BP19" s="37"/>
      <c r="BQ19" s="37"/>
      <c r="BR19" s="35"/>
      <c r="BS19" s="35"/>
      <c r="BT19" s="36"/>
      <c r="BU19" s="39"/>
      <c r="BV19" s="36"/>
      <c r="BX19" s="35"/>
      <c r="BZ19" s="35"/>
    </row>
    <row r="20" spans="5:78" x14ac:dyDescent="0.25">
      <c r="E20" s="8" t="s">
        <v>8</v>
      </c>
      <c r="F20" s="18">
        <v>47</v>
      </c>
      <c r="G20" s="15">
        <f t="shared" ref="G20:G30" si="2">23.45*SIN(RADIANS(360*(284+F20)/365))</f>
        <v>-12.954608093780696</v>
      </c>
      <c r="H20" s="16">
        <f t="shared" ref="H20:H30" si="3">((24*3600*10^-6)/PI())*$G$7*(1+0.033*COS(RADIANS((360*F20)/365)))*((L20*2*PI()*N20)/360+M20*SIN(RADIANS(N20)))</f>
        <v>18.987104886434995</v>
      </c>
      <c r="I20" s="17">
        <f t="shared" ref="I20:I30" si="4">SIN(RADIANS(G20))*(SIN(RADIANS($G$4))*COS(RADIANS($G$5))-COS(RADIANS($G$4))*SIN(RADIANS($G$5))*COS(RADIANS($G$6)))</f>
        <v>1.0364859452113557E-2</v>
      </c>
      <c r="J20" s="19">
        <f t="shared" ref="J20:J30" si="5">COS(RADIANS(G20))*(COS(RADIANS($G$4))*COS(RADIANS($G$5))+SIN(RADIANS($G$4))*SIN(RADIANS($G$5))*COS(RADIANS($G$6)))</f>
        <v>0.9735057948793272</v>
      </c>
      <c r="K20" s="12">
        <f t="shared" ref="K20:K29" si="6">COS(RADIANS(G20))*(SIN(RADIANS($G$5))*SIN(RADIANS($G$6)))</f>
        <v>0</v>
      </c>
      <c r="L20" s="17">
        <f t="shared" ref="L20:L30" si="7">SIN(RADIANS(G20))*(SIN(RADIANS($G$4)))</f>
        <v>-0.15101994521565368</v>
      </c>
      <c r="M20" s="19">
        <f t="shared" ref="M20:M30" si="8">COS(RADIANS(G20))*(COS(RADIANS($G$4)))</f>
        <v>0.72023334471273781</v>
      </c>
      <c r="N20" s="17">
        <f t="shared" ref="N20:N30" si="9">ACOS(-(TAN(RADIANS($G$4)))*(TAN(RADIANS(G20))))*(180/(PI()))</f>
        <v>77.896284579588752</v>
      </c>
      <c r="O20" s="13">
        <f t="shared" ref="O20:O30" si="10">($J20^2+$K20^2-$I20^2)</f>
        <v>0.94760610235216858</v>
      </c>
      <c r="P20" s="13">
        <f t="shared" ref="P20:P30" si="11">IF($K20*COS(2*(ATAN((-$K20+SQRT($O20))/($I20-$J20))))&gt;$J20*SIN(2*(ATAN((-$K20+SQRT($O20))/($I20-$J20)))),2*(ATAN((-$K20+SQRT($O20))/($I20-$J20)))*(180/PI()))</f>
        <v>-90.610036350409004</v>
      </c>
      <c r="Q20" s="13">
        <f t="shared" ref="Q20:Q30" si="12">IF($K20*COS(2*(ATAN((-$K20+SQRT($O20))/($I20-$J20))))&gt;$J20*SIN(2*(ATAN((-$K20+SQRT($O20))/($I20-$J20)))),2*(ATAN((-$K20-SQRT($O20))/($I20-$J20)))*(180/PI()))</f>
        <v>90.610036350409004</v>
      </c>
      <c r="R20" s="13">
        <f t="shared" ref="R20:R30" si="13">IF(ABS(P20)&lt;ABS(N20),P20,-N20)</f>
        <v>-77.896284579588752</v>
      </c>
      <c r="S20" s="13">
        <f t="shared" ref="S20:S30" si="14">IF(ABS(Q20)&lt;ABS(N20),Q20,N20)</f>
        <v>77.896284579588752</v>
      </c>
      <c r="T20" s="9">
        <f t="shared" ref="T20:T30" si="15">IF($I20+$J20&gt;0,-$N20)</f>
        <v>-77.896284579588752</v>
      </c>
      <c r="U20" s="9">
        <f t="shared" ref="U20:U30" si="16">IF($I20+$J20&gt;0,$N20)</f>
        <v>77.896284579588752</v>
      </c>
      <c r="V20" s="10" t="s">
        <v>38</v>
      </c>
      <c r="W20" s="26" t="s">
        <v>38</v>
      </c>
      <c r="X20" s="13">
        <f t="shared" si="0"/>
        <v>1350.0332502951151</v>
      </c>
      <c r="Y20" s="13">
        <f t="shared" ref="Y20:Y30" si="17">$G$7*($I20*PI()*($S20-$R20)/180+$J20*(SIN(RADIANS(S20))-SIN(RADIANS(R20)))-K20*(COS(RADIANS(S20))-COS(RADIANS(R20))))</f>
        <v>2613.8767252423741</v>
      </c>
      <c r="Z20" s="12">
        <f t="shared" ref="Z20:Z30" si="18">Y20/X20</f>
        <v>1.9361572944007008</v>
      </c>
      <c r="AA20" s="3">
        <f>HLOOKUP($E$2,'dati normativa'!$J$1:$DF$25,5,FALSE)</f>
        <v>4.5999999999999996</v>
      </c>
      <c r="AB20" s="3">
        <f>HLOOKUP($E$2,'dati normativa'!$J$1:$DF$25,4,FALSE)</f>
        <v>3.8</v>
      </c>
      <c r="AC20" s="13">
        <f t="shared" ref="AC20:AC30" si="19">AA20+AB20</f>
        <v>8.3999999999999986</v>
      </c>
      <c r="AD20" s="12">
        <f t="shared" ref="AD20:AD30" si="20">AC20/H20</f>
        <v>0.44240551944289475</v>
      </c>
      <c r="AE20" s="13">
        <f t="shared" ref="AE20:AE30" si="21">0.881-0.972*AD20</f>
        <v>0.4509818351015063</v>
      </c>
      <c r="AF20" s="15">
        <f t="shared" ref="AF20:AF30" si="22">(1-AE20)*Z20+AE20*(1+COS(RADIANS($G$5)))/2+$F$11*(1-COS(RADIANS($G$5)))/2</f>
        <v>1.4772119210549182</v>
      </c>
      <c r="AG20" s="139">
        <f t="shared" ref="AG20:AG30" si="23">AF20*AC20</f>
        <v>12.40858013686131</v>
      </c>
      <c r="AH20" s="139">
        <f t="shared" ref="AH20:AH30" si="24">(AG20*10^6)/(24*3600)</f>
        <v>143.61782565811703</v>
      </c>
      <c r="AI20" s="139">
        <f t="shared" si="1"/>
        <v>22.634169323719242</v>
      </c>
      <c r="AL20" s="18">
        <f>('risultati intermedi'!$R$3*calcolo!$AI20+'risultati intermedi'!$S$3)+(($G$5-45)/(30-45))*(('risultati intermedi'!$R$11*calcolo!$AI20+'risultati intermedi'!$S$11)-('risultati intermedi'!$R$3*calcolo!$AI20+'risultati intermedi'!$S$3))</f>
        <v>4.4901620463229523</v>
      </c>
      <c r="AM20" s="18">
        <f>('risultati intermedi'!$R$4*calcolo!$AI20+'risultati intermedi'!$S$4)+(($G$5-45)/(30-45))*(('risultati intermedi'!$R$12*calcolo!$AI20+'risultati intermedi'!$S$12)-('risultati intermedi'!$R$4*calcolo!$AI20+'risultati intermedi'!$S$4))</f>
        <v>5.0912644600668617</v>
      </c>
      <c r="AN20" s="18">
        <f>('risultati intermedi'!$R$5*calcolo!$AI20+'risultati intermedi'!$S$5)+(($G$5-45)/(30-45))*(('risultati intermedi'!$R$13*calcolo!$AI20+'risultati intermedi'!$S$13)-('risultati intermedi'!$R$5*calcolo!$AI20+'risultati intermedi'!$S$5))</f>
        <v>8.1526052110315668</v>
      </c>
      <c r="AO20" s="18">
        <f>('risultati intermedi'!$R$6*calcolo!$AI20+'risultati intermedi'!$S$6)+(($G$5-45)/(30-45))*(('risultati intermedi'!$R$14*calcolo!$AI20+'risultati intermedi'!$S$14)-('risultati intermedi'!$R$6*calcolo!$AI20+'risultati intermedi'!$S$6))</f>
        <v>5.057102985742155</v>
      </c>
      <c r="AP20" s="18">
        <f>('risultati intermedi'!$R$7*calcolo!$AI20+'risultati intermedi'!$S$7)+(($G$5-45)/(30-45))*(('risultati intermedi'!$R$15*calcolo!$AI20+'risultati intermedi'!$S$15)-('risultati intermedi'!$R$7*calcolo!$AI20+'risultati intermedi'!$S$7))</f>
        <v>4.666586466443789</v>
      </c>
      <c r="AQ20" s="18">
        <f>('risultati intermedi'!$R$8*calcolo!$AI20+'risultati intermedi'!$S$8)+(($G$5-45)/(30-45))*(('risultati intermedi'!$R$15*calcolo!$AI20+'risultati intermedi'!$S$15)-('risultati intermedi'!$R$8*calcolo!$AI20+'risultati intermedi'!$S$8))</f>
        <v>6.4964934249937656</v>
      </c>
      <c r="AR20" s="18">
        <f>('risultati intermedi'!$R$9*calcolo!$AI20+'risultati intermedi'!$S$9)+(($G$5-45)/(30-45))*(('risultati intermedi'!$R$16*calcolo!$AI20+'risultati intermedi'!$S$16)-('risultati intermedi'!$R$9*calcolo!$AI20+'risultati intermedi'!$S$9))</f>
        <v>5.9263703821171045</v>
      </c>
      <c r="AS20" s="18">
        <f>('risultati intermedi'!$R$10*calcolo!$AI20+'risultati intermedi'!$S$10)+(($G$5-45)/(30-45))*(('risultati intermedi'!$R$17*calcolo!$AI20+'risultati intermedi'!$S$17)-('risultati intermedi'!$R$10*calcolo!$AI20+'risultati intermedi'!$S$10))</f>
        <v>4.7061252386362664</v>
      </c>
      <c r="AT20" s="35"/>
      <c r="AU20" s="35"/>
      <c r="AV20" s="18">
        <f>'risultati intermedi'!$R$19*calcolo!$AI20+'risultati intermedi'!$S$19</f>
        <v>4.6417179393418522</v>
      </c>
      <c r="AW20" s="18">
        <f>'risultati intermedi'!$R$20*calcolo!$AI20+'risultati intermedi'!$S$20</f>
        <v>4.6604589729883017</v>
      </c>
      <c r="AX20" s="18">
        <f>'risultati intermedi'!$R$21*calcolo!$AI20+'risultati intermedi'!$S$21</f>
        <v>1.3638355893672056</v>
      </c>
      <c r="AY20" s="18">
        <f>'risultati intermedi'!$R$22*calcolo!$AI20+'risultati intermedi'!$S$22</f>
        <v>2.705439286128037</v>
      </c>
      <c r="AZ20" s="18">
        <f>'risultati intermedi'!$R$23*calcolo!$AI20+'risultati intermedi'!$S$23</f>
        <v>-1.5176724999097608</v>
      </c>
      <c r="BA20" s="18">
        <f>'risultati intermedi'!$R$24*calcolo!$AI20+'risultati intermedi'!$S$24</f>
        <v>-1.0060777043065769</v>
      </c>
      <c r="BB20" s="18">
        <f>'risultati intermedi'!$R$25*calcolo!$AI20+'risultati intermedi'!$S$25</f>
        <v>2.5051936715109537</v>
      </c>
      <c r="BC20" s="18">
        <f>'risultati intermedi'!$R$26*calcolo!$AI20+'risultati intermedi'!$S$26</f>
        <v>-4.0310915271792851</v>
      </c>
      <c r="BD20" s="18">
        <f>'risultati intermedi'!$R$27*calcolo!$AI20+'risultati intermedi'!$S$27</f>
        <v>-2.7694332204164773</v>
      </c>
      <c r="BE20" s="37"/>
      <c r="BF20" s="37"/>
      <c r="BG20" s="37"/>
      <c r="BH20" s="38"/>
      <c r="BI20" s="38"/>
      <c r="BJ20" s="37"/>
      <c r="BK20" s="37"/>
      <c r="BL20" s="37"/>
      <c r="BM20" s="37"/>
      <c r="BN20" s="38"/>
      <c r="BO20" s="38"/>
      <c r="BP20" s="37"/>
      <c r="BQ20" s="37"/>
      <c r="BR20" s="35"/>
      <c r="BS20" s="35"/>
      <c r="BT20" s="36"/>
      <c r="BU20" s="39"/>
      <c r="BV20" s="36"/>
      <c r="BX20" s="35"/>
      <c r="BZ20" s="35"/>
    </row>
    <row r="21" spans="5:78" x14ac:dyDescent="0.25">
      <c r="E21" s="8" t="s">
        <v>9</v>
      </c>
      <c r="F21" s="18">
        <v>75</v>
      </c>
      <c r="G21" s="15">
        <f t="shared" si="2"/>
        <v>-2.4177348051423611</v>
      </c>
      <c r="H21" s="16">
        <f t="shared" si="3"/>
        <v>26.070160507132488</v>
      </c>
      <c r="I21" s="17">
        <f t="shared" si="4"/>
        <v>1.9504082641267268E-3</v>
      </c>
      <c r="J21" s="19">
        <f t="shared" si="5"/>
        <v>0.99804137513076263</v>
      </c>
      <c r="K21" s="12">
        <f t="shared" si="6"/>
        <v>0</v>
      </c>
      <c r="L21" s="17">
        <f t="shared" si="7"/>
        <v>-2.8418190382360948E-2</v>
      </c>
      <c r="M21" s="19">
        <f t="shared" si="8"/>
        <v>0.7383856177879583</v>
      </c>
      <c r="N21" s="17">
        <f t="shared" si="9"/>
        <v>87.794316994063877</v>
      </c>
      <c r="O21" s="13">
        <f t="shared" si="10"/>
        <v>0.99608278238050696</v>
      </c>
      <c r="P21" s="13">
        <f t="shared" si="11"/>
        <v>-90.111969539316007</v>
      </c>
      <c r="Q21" s="13">
        <f t="shared" si="12"/>
        <v>90.111969539316007</v>
      </c>
      <c r="R21" s="13">
        <f t="shared" si="13"/>
        <v>-87.794316994063877</v>
      </c>
      <c r="S21" s="13">
        <f t="shared" si="14"/>
        <v>87.794316994063877</v>
      </c>
      <c r="T21" s="9">
        <f t="shared" si="15"/>
        <v>-87.794316994063877</v>
      </c>
      <c r="U21" s="9">
        <f t="shared" si="16"/>
        <v>87.794316994063877</v>
      </c>
      <c r="V21" s="10" t="s">
        <v>38</v>
      </c>
      <c r="W21" s="26" t="s">
        <v>38</v>
      </c>
      <c r="X21" s="13">
        <f t="shared" si="0"/>
        <v>1878.7578338007495</v>
      </c>
      <c r="Y21" s="13">
        <f t="shared" si="17"/>
        <v>2706.7862027714741</v>
      </c>
      <c r="Z21" s="12">
        <f t="shared" si="18"/>
        <v>1.4407318250780694</v>
      </c>
      <c r="AA21" s="3">
        <f>HLOOKUP($E$2,'dati normativa'!$J$1:$DF$25,7,FALSE)</f>
        <v>6.7</v>
      </c>
      <c r="AB21" s="3">
        <f>HLOOKUP($E$2,'dati normativa'!$J$1:$DF$25,6,FALSE)</f>
        <v>5.3</v>
      </c>
      <c r="AC21" s="13">
        <f t="shared" si="19"/>
        <v>12</v>
      </c>
      <c r="AD21" s="12">
        <f t="shared" si="20"/>
        <v>0.46029636053513906</v>
      </c>
      <c r="AE21" s="13">
        <f t="shared" si="21"/>
        <v>0.43359193755984488</v>
      </c>
      <c r="AF21" s="15">
        <f t="shared" si="22"/>
        <v>1.2154253118577956</v>
      </c>
      <c r="AG21" s="139">
        <f t="shared" si="23"/>
        <v>14.585103742293548</v>
      </c>
      <c r="AH21" s="139">
        <f t="shared" si="24"/>
        <v>168.80907109136049</v>
      </c>
      <c r="AI21" s="139">
        <f t="shared" si="1"/>
        <v>26.604309603998413</v>
      </c>
      <c r="AL21" s="18">
        <f>('risultati intermedi'!$R$3*calcolo!$AI21+'risultati intermedi'!$S$3)+(($G$5-45)/(30-45))*(('risultati intermedi'!$R$11*calcolo!$AI21+'risultati intermedi'!$S$11)-('risultati intermedi'!$R$3*calcolo!$AI21+'risultati intermedi'!$S$3))</f>
        <v>8.0458196813409781</v>
      </c>
      <c r="AM21" s="18">
        <f>('risultati intermedi'!$R$4*calcolo!$AI21+'risultati intermedi'!$S$4)+(($G$5-45)/(30-45))*(('risultati intermedi'!$R$12*calcolo!$AI21+'risultati intermedi'!$S$12)-('risultati intermedi'!$R$4*calcolo!$AI21+'risultati intermedi'!$S$4))</f>
        <v>8.6425549407765789</v>
      </c>
      <c r="AN21" s="18">
        <f>('risultati intermedi'!$R$5*calcolo!$AI21+'risultati intermedi'!$S$5)+(($G$5-45)/(30-45))*(('risultati intermedi'!$R$13*calcolo!$AI21+'risultati intermedi'!$S$13)-('risultati intermedi'!$R$5*calcolo!$AI21+'risultati intermedi'!$S$5))</f>
        <v>11.58082134305263</v>
      </c>
      <c r="AO21" s="18">
        <f>('risultati intermedi'!$R$6*calcolo!$AI21+'risultati intermedi'!$S$6)+(($G$5-45)/(30-45))*(('risultati intermedi'!$R$14*calcolo!$AI21+'risultati intermedi'!$S$14)-('risultati intermedi'!$R$6*calcolo!$AI21+'risultati intermedi'!$S$6))</f>
        <v>8.5222414223698131</v>
      </c>
      <c r="AP21" s="18">
        <f>('risultati intermedi'!$R$7*calcolo!$AI21+'risultati intermedi'!$S$7)+(($G$5-45)/(30-45))*(('risultati intermedi'!$R$15*calcolo!$AI21+'risultati intermedi'!$S$15)-('risultati intermedi'!$R$7*calcolo!$AI21+'risultati intermedi'!$S$7))</f>
        <v>8.227405283826176</v>
      </c>
      <c r="AQ21" s="18">
        <f>('risultati intermedi'!$R$8*calcolo!$AI21+'risultati intermedi'!$S$8)+(($G$5-45)/(30-45))*(('risultati intermedi'!$R$15*calcolo!$AI21+'risultati intermedi'!$S$15)-('risultati intermedi'!$R$8*calcolo!$AI21+'risultati intermedi'!$S$8))</f>
        <v>9.9953780540038011</v>
      </c>
      <c r="AR21" s="18">
        <f>('risultati intermedi'!$R$9*calcolo!$AI21+'risultati intermedi'!$S$9)+(($G$5-45)/(30-45))*(('risultati intermedi'!$R$16*calcolo!$AI21+'risultati intermedi'!$S$16)-('risultati intermedi'!$R$9*calcolo!$AI21+'risultati intermedi'!$S$9))</f>
        <v>9.2366733478138752</v>
      </c>
      <c r="AS21" s="18">
        <f>('risultati intermedi'!$R$10*calcolo!$AI21+'risultati intermedi'!$S$10)+(($G$5-45)/(30-45))*(('risultati intermedi'!$R$17*calcolo!$AI21+'risultati intermedi'!$S$17)-('risultati intermedi'!$R$10*calcolo!$AI21+'risultati intermedi'!$S$10))</f>
        <v>7.8020406291979629</v>
      </c>
      <c r="AT21" s="35"/>
      <c r="AU21" s="35"/>
      <c r="AV21" s="18">
        <f>'risultati intermedi'!$R$19*calcolo!$AI21+'risultati intermedi'!$S$19</f>
        <v>8.1620413258653919</v>
      </c>
      <c r="AW21" s="18">
        <f>'risultati intermedi'!$R$20*calcolo!$AI21+'risultati intermedi'!$S$20</f>
        <v>8.1065407362706203</v>
      </c>
      <c r="AX21" s="18">
        <f>'risultati intermedi'!$R$21*calcolo!$AI21+'risultati intermedi'!$S$21</f>
        <v>4.9838094969257547</v>
      </c>
      <c r="AY21" s="18">
        <f>'risultati intermedi'!$R$22*calcolo!$AI21+'risultati intermedi'!$S$22</f>
        <v>6.1213479832802378</v>
      </c>
      <c r="AZ21" s="18">
        <f>'risultati intermedi'!$R$23*calcolo!$AI21+'risultati intermedi'!$S$23</f>
        <v>1.968904694231405</v>
      </c>
      <c r="BA21" s="18">
        <f>'risultati intermedi'!$R$24*calcolo!$AI21+'risultati intermedi'!$S$24</f>
        <v>2.4241234978546267</v>
      </c>
      <c r="BB21" s="18">
        <f>'risultati intermedi'!$R$25*calcolo!$AI21+'risultati intermedi'!$S$25</f>
        <v>5.6253269177823544</v>
      </c>
      <c r="BC21" s="18">
        <f>'risultati intermedi'!$R$26*calcolo!$AI21+'risultati intermedi'!$S$26</f>
        <v>-0.46074437312422845</v>
      </c>
      <c r="BD21" s="18">
        <f>'risultati intermedi'!$R$27*calcolo!$AI21+'risultati intermedi'!$S$27</f>
        <v>0.76121253083578821</v>
      </c>
      <c r="BE21" s="37"/>
      <c r="BF21" s="37"/>
      <c r="BG21" s="37"/>
      <c r="BH21" s="38"/>
      <c r="BI21" s="38"/>
      <c r="BJ21" s="37"/>
      <c r="BK21" s="37"/>
      <c r="BL21" s="37"/>
      <c r="BM21" s="37"/>
      <c r="BN21" s="38"/>
      <c r="BO21" s="38"/>
      <c r="BP21" s="37"/>
      <c r="BQ21" s="37"/>
      <c r="BR21" s="35"/>
      <c r="BS21" s="35"/>
      <c r="BT21" s="36"/>
      <c r="BU21" s="39"/>
      <c r="BV21" s="36"/>
      <c r="BX21" s="35"/>
      <c r="BZ21" s="35"/>
    </row>
    <row r="22" spans="5:78" x14ac:dyDescent="0.25">
      <c r="E22" s="8" t="s">
        <v>10</v>
      </c>
      <c r="F22" s="18">
        <v>105</v>
      </c>
      <c r="G22" s="15">
        <f t="shared" si="2"/>
        <v>9.4148933468800724</v>
      </c>
      <c r="H22" s="16">
        <f t="shared" si="3"/>
        <v>33.618865060960125</v>
      </c>
      <c r="I22" s="17">
        <f t="shared" si="4"/>
        <v>-7.5631894425839908E-3</v>
      </c>
      <c r="J22" s="19">
        <f t="shared" si="5"/>
        <v>0.98547468153406181</v>
      </c>
      <c r="K22" s="12">
        <f t="shared" si="6"/>
        <v>0</v>
      </c>
      <c r="L22" s="17">
        <f t="shared" si="7"/>
        <v>0.11019854736590119</v>
      </c>
      <c r="M22" s="19">
        <f t="shared" si="8"/>
        <v>0.72908834209762308</v>
      </c>
      <c r="N22" s="17">
        <f t="shared" si="9"/>
        <v>98.693325751788706</v>
      </c>
      <c r="O22" s="13">
        <f t="shared" si="10"/>
        <v>0.97110314611011617</v>
      </c>
      <c r="P22" s="13">
        <f t="shared" si="11"/>
        <v>-89.560269688374461</v>
      </c>
      <c r="Q22" s="13">
        <f t="shared" si="12"/>
        <v>89.560269688374461</v>
      </c>
      <c r="R22" s="13">
        <f t="shared" si="13"/>
        <v>-89.560269688374461</v>
      </c>
      <c r="S22" s="13">
        <f t="shared" si="14"/>
        <v>89.560269688374461</v>
      </c>
      <c r="T22" s="9">
        <f t="shared" si="15"/>
        <v>-98.693325751788706</v>
      </c>
      <c r="U22" s="9">
        <f t="shared" si="16"/>
        <v>98.693325751788706</v>
      </c>
      <c r="V22" s="10" t="s">
        <v>38</v>
      </c>
      <c r="W22" s="26" t="s">
        <v>38</v>
      </c>
      <c r="X22" s="13">
        <f t="shared" si="0"/>
        <v>2463.8990413683919</v>
      </c>
      <c r="Y22" s="13">
        <f t="shared" si="17"/>
        <v>2634.6251205337594</v>
      </c>
      <c r="Z22" s="12">
        <f t="shared" si="18"/>
        <v>1.0692910205730468</v>
      </c>
      <c r="AA22" s="3">
        <f>HLOOKUP($E$2,'dati normativa'!$J$1:$DF$25,9,FALSE)</f>
        <v>7.9</v>
      </c>
      <c r="AB22" s="3">
        <f>HLOOKUP($E$2,'dati normativa'!$J$1:$DF$25,8,FALSE)</f>
        <v>6.9</v>
      </c>
      <c r="AC22" s="13">
        <f t="shared" si="19"/>
        <v>14.8</v>
      </c>
      <c r="AD22" s="12">
        <f t="shared" si="20"/>
        <v>0.44022901942595577</v>
      </c>
      <c r="AE22" s="13">
        <f t="shared" si="21"/>
        <v>0.45309739311797098</v>
      </c>
      <c r="AF22" s="15">
        <f t="shared" si="22"/>
        <v>1.0008301847131076</v>
      </c>
      <c r="AG22" s="139">
        <f t="shared" si="23"/>
        <v>14.812286733753993</v>
      </c>
      <c r="AH22" s="139">
        <f t="shared" si="24"/>
        <v>171.43850386289344</v>
      </c>
      <c r="AI22" s="139">
        <f t="shared" si="1"/>
        <v>27.018708208792006</v>
      </c>
      <c r="AL22" s="18">
        <f>('risultati intermedi'!$R$3*calcolo!$AI22+'risultati intermedi'!$S$3)+(($G$5-45)/(30-45))*(('risultati intermedi'!$R$11*calcolo!$AI22+'risultati intermedi'!$S$11)-('risultati intermedi'!$R$3*calcolo!$AI22+'risultati intermedi'!$S$3))</f>
        <v>8.4169550717941188</v>
      </c>
      <c r="AM22" s="18">
        <f>('risultati intermedi'!$R$4*calcolo!$AI22+'risultati intermedi'!$S$4)+(($G$5-45)/(30-45))*(('risultati intermedi'!$R$12*calcolo!$AI22+'risultati intermedi'!$S$12)-('risultati intermedi'!$R$4*calcolo!$AI22+'risultati intermedi'!$S$4))</f>
        <v>9.0132344927644485</v>
      </c>
      <c r="AN22" s="18">
        <f>('risultati intermedi'!$R$5*calcolo!$AI22+'risultati intermedi'!$S$5)+(($G$5-45)/(30-45))*(('risultati intermedi'!$R$13*calcolo!$AI22+'risultati intermedi'!$S$13)-('risultati intermedi'!$R$5*calcolo!$AI22+'risultati intermedi'!$S$5))</f>
        <v>11.9386545382919</v>
      </c>
      <c r="AO22" s="18">
        <f>('risultati intermedi'!$R$6*calcolo!$AI22+'risultati intermedi'!$S$6)+(($G$5-45)/(30-45))*(('risultati intermedi'!$R$14*calcolo!$AI22+'risultati intermedi'!$S$14)-('risultati intermedi'!$R$6*calcolo!$AI22+'risultati intermedi'!$S$6))</f>
        <v>8.8839285246336637</v>
      </c>
      <c r="AP22" s="18">
        <f>('risultati intermedi'!$R$7*calcolo!$AI22+'risultati intermedi'!$S$7)+(($G$5-45)/(30-45))*(('risultati intermedi'!$R$15*calcolo!$AI22+'risultati intermedi'!$S$15)-('risultati intermedi'!$R$7*calcolo!$AI22+'risultati intermedi'!$S$7))</f>
        <v>8.5990793924655513</v>
      </c>
      <c r="AQ22" s="18">
        <f>('risultati intermedi'!$R$8*calcolo!$AI22+'risultati intermedi'!$S$8)+(($G$5-45)/(30-45))*(('risultati intermedi'!$R$15*calcolo!$AI22+'risultati intermedi'!$S$15)-('risultati intermedi'!$R$8*calcolo!$AI22+'risultati intermedi'!$S$8))</f>
        <v>10.360587544408393</v>
      </c>
      <c r="AR22" s="18">
        <f>('risultati intermedi'!$R$9*calcolo!$AI22+'risultati intermedi'!$S$9)+(($G$5-45)/(30-45))*(('risultati intermedi'!$R$16*calcolo!$AI22+'risultati intermedi'!$S$16)-('risultati intermedi'!$R$9*calcolo!$AI22+'risultati intermedi'!$S$9))</f>
        <v>9.5821989044907756</v>
      </c>
      <c r="AS22" s="18">
        <f>('risultati intermedi'!$R$10*calcolo!$AI22+'risultati intermedi'!$S$10)+(($G$5-45)/(30-45))*(('risultati intermedi'!$R$17*calcolo!$AI22+'risultati intermedi'!$S$17)-('risultati intermedi'!$R$10*calcolo!$AI22+'risultati intermedi'!$S$10))</f>
        <v>8.125188661216006</v>
      </c>
      <c r="AT22" s="35"/>
      <c r="AU22" s="35"/>
      <c r="AV22" s="18">
        <f>'risultati intermedi'!$R$19*calcolo!$AI22+'risultati intermedi'!$S$19</f>
        <v>8.5294885687358715</v>
      </c>
      <c r="AW22" s="18">
        <f>'risultati intermedi'!$R$20*calcolo!$AI22+'risultati intermedi'!$S$20</f>
        <v>8.4662387252314595</v>
      </c>
      <c r="AX22" s="18">
        <f>'risultati intermedi'!$R$21*calcolo!$AI22+'risultati intermedi'!$S$21</f>
        <v>5.3616581447765519</v>
      </c>
      <c r="AY22" s="18">
        <f>'risultati intermedi'!$R$22*calcolo!$AI22+'risultati intermedi'!$S$22</f>
        <v>6.4778965428446469</v>
      </c>
      <c r="AZ22" s="18">
        <f>'risultati intermedi'!$R$23*calcolo!$AI22+'risultati intermedi'!$S$23</f>
        <v>2.3328295489611399</v>
      </c>
      <c r="BA22" s="18">
        <f>'risultati intermedi'!$R$24*calcolo!$AI22+'risultati intermedi'!$S$24</f>
        <v>2.7821638923962908</v>
      </c>
      <c r="BB22" s="18">
        <f>'risultati intermedi'!$R$25*calcolo!$AI22+'risultati intermedi'!$S$25</f>
        <v>5.95100278128964</v>
      </c>
      <c r="BC22" s="18">
        <f>'risultati intermedi'!$R$26*calcolo!$AI22+'risultati intermedi'!$S$26</f>
        <v>-8.8075707833347394E-2</v>
      </c>
      <c r="BD22" s="18">
        <f>'risultati intermedi'!$R$27*calcolo!$AI22+'risultati intermedi'!$S$27</f>
        <v>1.12973721007873</v>
      </c>
      <c r="BE22" s="37"/>
      <c r="BF22" s="37"/>
      <c r="BG22" s="37"/>
      <c r="BH22" s="38"/>
      <c r="BI22" s="38"/>
      <c r="BJ22" s="37"/>
      <c r="BK22" s="37"/>
      <c r="BL22" s="37"/>
      <c r="BM22" s="37"/>
      <c r="BN22" s="38"/>
      <c r="BO22" s="38"/>
      <c r="BP22" s="37"/>
      <c r="BQ22" s="37"/>
      <c r="BR22" s="35"/>
      <c r="BS22" s="35"/>
      <c r="BT22" s="36"/>
      <c r="BU22" s="39"/>
      <c r="BV22" s="36"/>
      <c r="BX22" s="35"/>
      <c r="BZ22" s="35"/>
    </row>
    <row r="23" spans="5:78" x14ac:dyDescent="0.25">
      <c r="E23" s="8" t="s">
        <v>11</v>
      </c>
      <c r="F23" s="18">
        <v>135</v>
      </c>
      <c r="G23" s="15">
        <f t="shared" si="2"/>
        <v>18.791917517696167</v>
      </c>
      <c r="H23" s="16">
        <f t="shared" si="3"/>
        <v>39.078281423294762</v>
      </c>
      <c r="I23" s="17">
        <f t="shared" si="4"/>
        <v>-1.4893695337953176E-2</v>
      </c>
      <c r="J23" s="19">
        <f t="shared" si="5"/>
        <v>0.94568231867633112</v>
      </c>
      <c r="K23" s="12">
        <f t="shared" si="6"/>
        <v>0</v>
      </c>
      <c r="L23" s="17">
        <f t="shared" si="7"/>
        <v>0.2170068069314407</v>
      </c>
      <c r="M23" s="19">
        <f t="shared" si="8"/>
        <v>0.69964857220020937</v>
      </c>
      <c r="N23" s="17">
        <f t="shared" si="9"/>
        <v>108.06920092607783</v>
      </c>
      <c r="O23" s="13">
        <f t="shared" si="10"/>
        <v>0.89409322569622207</v>
      </c>
      <c r="P23" s="13">
        <f t="shared" si="11"/>
        <v>-89.097602706504659</v>
      </c>
      <c r="Q23" s="13">
        <f t="shared" si="12"/>
        <v>89.097602706504659</v>
      </c>
      <c r="R23" s="13">
        <f t="shared" si="13"/>
        <v>-89.097602706504659</v>
      </c>
      <c r="S23" s="13">
        <f t="shared" si="14"/>
        <v>89.097602706504659</v>
      </c>
      <c r="T23" s="9">
        <f t="shared" si="15"/>
        <v>-108.06920092607783</v>
      </c>
      <c r="U23" s="9">
        <f t="shared" si="16"/>
        <v>108.06920092607783</v>
      </c>
      <c r="V23" s="10" t="s">
        <v>38</v>
      </c>
      <c r="W23" s="26" t="s">
        <v>38</v>
      </c>
      <c r="X23" s="13">
        <f t="shared" si="0"/>
        <v>2907.472559634657</v>
      </c>
      <c r="Y23" s="13">
        <f t="shared" si="17"/>
        <v>2496.0269577700406</v>
      </c>
      <c r="Z23" s="12">
        <f t="shared" si="18"/>
        <v>0.8584868495143021</v>
      </c>
      <c r="AA23" s="3">
        <f>HLOOKUP($E$2,'dati normativa'!$J$1:$DF$25,11,FALSE)</f>
        <v>11.3</v>
      </c>
      <c r="AB23" s="3">
        <f>HLOOKUP($E$2,'dati normativa'!$J$1:$DF$25,10,FALSE)</f>
        <v>8</v>
      </c>
      <c r="AC23" s="13">
        <f t="shared" si="19"/>
        <v>19.3</v>
      </c>
      <c r="AD23" s="12">
        <f t="shared" si="20"/>
        <v>0.49388047009905539</v>
      </c>
      <c r="AE23" s="13">
        <f t="shared" si="21"/>
        <v>0.40094818306371816</v>
      </c>
      <c r="AF23" s="15">
        <f t="shared" si="22"/>
        <v>0.88579811000504161</v>
      </c>
      <c r="AG23" s="139">
        <f t="shared" si="23"/>
        <v>17.095903523097302</v>
      </c>
      <c r="AH23" s="139">
        <f t="shared" si="24"/>
        <v>197.86925373955211</v>
      </c>
      <c r="AI23" s="139">
        <f t="shared" si="1"/>
        <v>31.184194389353411</v>
      </c>
      <c r="AL23" s="18">
        <f>('risultati intermedi'!$R$3*calcolo!$AI23+'risultati intermedi'!$S$3)+(($G$5-45)/(30-45))*(('risultati intermedi'!$R$11*calcolo!$AI23+'risultati intermedi'!$S$11)-('risultati intermedi'!$R$3*calcolo!$AI23+'risultati intermedi'!$S$3))</f>
        <v>12.147564495104914</v>
      </c>
      <c r="AM23" s="18">
        <f>('risultati intermedi'!$R$4*calcolo!$AI23+'risultati intermedi'!$S$4)+(($G$5-45)/(30-45))*(('risultati intermedi'!$R$12*calcolo!$AI23+'risultati intermedi'!$S$12)-('risultati intermedi'!$R$4*calcolo!$AI23+'risultati intermedi'!$S$4))</f>
        <v>12.739261881276628</v>
      </c>
      <c r="AN23" s="18">
        <f>('risultati intermedi'!$R$5*calcolo!$AI23+'risultati intermedi'!$S$5)+(($G$5-45)/(30-45))*(('risultati intermedi'!$R$13*calcolo!$AI23+'risultati intermedi'!$S$13)-('risultati intermedi'!$R$5*calcolo!$AI23+'risultati intermedi'!$S$5))</f>
        <v>15.535551855206673</v>
      </c>
      <c r="AO23" s="18">
        <f>('risultati intermedi'!$R$6*calcolo!$AI23+'risultati intermedi'!$S$6)+(($G$5-45)/(30-45))*(('risultati intermedi'!$R$14*calcolo!$AI23+'risultati intermedi'!$S$14)-('risultati intermedi'!$R$6*calcolo!$AI23+'risultati intermedi'!$S$6))</f>
        <v>12.519564863027657</v>
      </c>
      <c r="AP23" s="18">
        <f>('risultati intermedi'!$R$7*calcolo!$AI23+'risultati intermedi'!$S$7)+(($G$5-45)/(30-45))*(('risultati intermedi'!$R$15*calcolo!$AI23+'risultati intermedi'!$S$15)-('risultati intermedi'!$R$7*calcolo!$AI23+'risultati intermedi'!$S$7))</f>
        <v>12.335103947811074</v>
      </c>
      <c r="AQ23" s="18">
        <f>('risultati intermedi'!$R$8*calcolo!$AI23+'risultati intermedi'!$S$8)+(($G$5-45)/(30-45))*(('risultati intermedi'!$R$15*calcolo!$AI23+'risultati intermedi'!$S$15)-('risultati intermedi'!$R$8*calcolo!$AI23+'risultati intermedi'!$S$8))</f>
        <v>14.031630515337159</v>
      </c>
      <c r="AR23" s="18">
        <f>('risultati intermedi'!$R$9*calcolo!$AI23+'risultati intermedi'!$S$9)+(($G$5-45)/(30-45))*(('risultati intermedi'!$R$16*calcolo!$AI23+'risultati intermedi'!$S$16)-('risultati intermedi'!$R$9*calcolo!$AI23+'risultati intermedi'!$S$9))</f>
        <v>13.055381281842875</v>
      </c>
      <c r="AS23" s="18">
        <f>('risultati intermedi'!$R$10*calcolo!$AI23+'risultati intermedi'!$S$10)+(($G$5-45)/(30-45))*(('risultati intermedi'!$R$17*calcolo!$AI23+'risultati intermedi'!$S$17)-('risultati intermedi'!$R$10*calcolo!$AI23+'risultati intermedi'!$S$10))</f>
        <v>11.373434784817791</v>
      </c>
      <c r="AT23" s="35"/>
      <c r="AU23" s="35"/>
      <c r="AV23" s="18">
        <f>'risultati intermedi'!$R$19*calcolo!$AI23+'risultati intermedi'!$S$19</f>
        <v>12.223025165039669</v>
      </c>
      <c r="AW23" s="18">
        <f>'risultati intermedi'!$R$20*calcolo!$AI23+'risultati intermedi'!$S$20</f>
        <v>12.081880729958762</v>
      </c>
      <c r="AX23" s="18">
        <f>'risultati intermedi'!$R$21*calcolo!$AI23+'risultati intermedi'!$S$21</f>
        <v>9.1597484442124397</v>
      </c>
      <c r="AY23" s="18">
        <f>'risultati intermedi'!$R$22*calcolo!$AI23+'risultati intermedi'!$S$22</f>
        <v>10.061880852599678</v>
      </c>
      <c r="AZ23" s="18">
        <f>'risultati intermedi'!$R$23*calcolo!$AI23+'risultati intermedi'!$S$23</f>
        <v>5.9909595127301642</v>
      </c>
      <c r="BA23" s="18">
        <f>'risultati intermedi'!$R$24*calcolo!$AI23+'risultati intermedi'!$S$24</f>
        <v>6.3811439524013451</v>
      </c>
      <c r="BB23" s="18">
        <f>'risultati intermedi'!$R$25*calcolo!$AI23+'risultati intermedi'!$S$25</f>
        <v>9.2246583705928469</v>
      </c>
      <c r="BC23" s="18">
        <f>'risultati intermedi'!$R$26*calcolo!$AI23+'risultati intermedi'!$S$26</f>
        <v>3.6579460143455229</v>
      </c>
      <c r="BD23" s="18">
        <f>'risultati intermedi'!$R$27*calcolo!$AI23+'risultati intermedi'!$S$27</f>
        <v>4.8341040704519891</v>
      </c>
      <c r="BE23" s="37"/>
      <c r="BF23" s="37"/>
      <c r="BG23" s="37"/>
      <c r="BH23" s="38"/>
      <c r="BI23" s="38"/>
      <c r="BJ23" s="37"/>
      <c r="BK23" s="37"/>
      <c r="BL23" s="37"/>
      <c r="BM23" s="37"/>
      <c r="BN23" s="38"/>
      <c r="BO23" s="38"/>
      <c r="BP23" s="37"/>
      <c r="BQ23" s="37"/>
      <c r="BR23" s="35"/>
      <c r="BS23" s="35"/>
      <c r="BT23" s="36"/>
      <c r="BU23" s="39"/>
      <c r="BV23" s="36"/>
      <c r="BX23" s="35"/>
      <c r="BZ23" s="35"/>
    </row>
    <row r="24" spans="5:78" x14ac:dyDescent="0.25">
      <c r="E24" s="8" t="s">
        <v>12</v>
      </c>
      <c r="F24" s="18">
        <v>162</v>
      </c>
      <c r="G24" s="15">
        <f t="shared" si="2"/>
        <v>23.085911002836561</v>
      </c>
      <c r="H24" s="16">
        <f t="shared" si="3"/>
        <v>41.350310883580669</v>
      </c>
      <c r="I24" s="17">
        <f t="shared" si="4"/>
        <v>-1.8129145326059512E-2</v>
      </c>
      <c r="J24" s="19">
        <f t="shared" si="5"/>
        <v>0.91893418723979714</v>
      </c>
      <c r="K24" s="12">
        <f t="shared" si="6"/>
        <v>0</v>
      </c>
      <c r="L24" s="17">
        <f t="shared" si="7"/>
        <v>0.26414854408757443</v>
      </c>
      <c r="M24" s="19">
        <f t="shared" si="8"/>
        <v>0.67985937703497779</v>
      </c>
      <c r="N24" s="17">
        <f t="shared" si="9"/>
        <v>112.86331688045331</v>
      </c>
      <c r="O24" s="13">
        <f t="shared" si="10"/>
        <v>0.84411137456781316</v>
      </c>
      <c r="P24" s="13">
        <f t="shared" si="11"/>
        <v>-88.869569855881167</v>
      </c>
      <c r="Q24" s="13">
        <f t="shared" si="12"/>
        <v>88.869569855881167</v>
      </c>
      <c r="R24" s="13">
        <f t="shared" si="13"/>
        <v>-88.869569855881167</v>
      </c>
      <c r="S24" s="13">
        <f t="shared" si="14"/>
        <v>88.869569855881167</v>
      </c>
      <c r="T24" s="9">
        <f t="shared" si="15"/>
        <v>-112.86331688045331</v>
      </c>
      <c r="U24" s="9">
        <f t="shared" si="16"/>
        <v>112.86331688045331</v>
      </c>
      <c r="V24" s="10" t="s">
        <v>38</v>
      </c>
      <c r="W24" s="26" t="s">
        <v>38</v>
      </c>
      <c r="X24" s="13">
        <f t="shared" si="0"/>
        <v>3103.173752200245</v>
      </c>
      <c r="Y24" s="13">
        <f t="shared" si="17"/>
        <v>2410.0605508521203</v>
      </c>
      <c r="Z24" s="12">
        <f t="shared" si="18"/>
        <v>0.77664376644824151</v>
      </c>
      <c r="AA24" s="3">
        <f>HLOOKUP($E$2,'dati normativa'!$J$1:$DF$25,13,FALSE)</f>
        <v>12.7</v>
      </c>
      <c r="AB24" s="3">
        <f>HLOOKUP($E$2,'dati normativa'!$J$1:$DF$25,12,FALSE)</f>
        <v>8.4</v>
      </c>
      <c r="AC24" s="13">
        <f t="shared" si="19"/>
        <v>21.1</v>
      </c>
      <c r="AD24" s="12">
        <f t="shared" si="20"/>
        <v>0.51027427724560015</v>
      </c>
      <c r="AE24" s="13">
        <f t="shared" si="21"/>
        <v>0.38501340251727667</v>
      </c>
      <c r="AF24" s="15">
        <f t="shared" si="22"/>
        <v>0.83554432440799054</v>
      </c>
      <c r="AG24" s="139">
        <f t="shared" si="23"/>
        <v>17.629985245008601</v>
      </c>
      <c r="AH24" s="139">
        <f t="shared" si="24"/>
        <v>204.05075515056254</v>
      </c>
      <c r="AI24" s="139">
        <f t="shared" si="1"/>
        <v>32.158399011728655</v>
      </c>
      <c r="AL24" s="18">
        <f>('risultati intermedi'!$R$3*calcolo!$AI24+'risultati intermedi'!$S$3)+(($G$5-45)/(30-45))*(('risultati intermedi'!$R$11*calcolo!$AI24+'risultati intermedi'!$S$11)-('risultati intermedi'!$R$3*calcolo!$AI24+'risultati intermedi'!$S$3))</f>
        <v>13.02006215490418</v>
      </c>
      <c r="AM24" s="18">
        <f>('risultati intermedi'!$R$4*calcolo!$AI24+'risultati intermedi'!$S$4)+(($G$5-45)/(30-45))*(('risultati intermedi'!$R$12*calcolo!$AI24+'risultati intermedi'!$S$12)-('risultati intermedi'!$R$4*calcolo!$AI24+'risultati intermedi'!$S$4))</f>
        <v>13.61068791599128</v>
      </c>
      <c r="AN24" s="18">
        <f>('risultati intermedi'!$R$5*calcolo!$AI24+'risultati intermedi'!$S$5)+(($G$5-45)/(30-45))*(('risultati intermedi'!$R$13*calcolo!$AI24+'risultati intermedi'!$S$13)-('risultati intermedi'!$R$5*calcolo!$AI24+'risultati intermedi'!$S$5))</f>
        <v>16.376777546627697</v>
      </c>
      <c r="AO24" s="18">
        <f>('risultati intermedi'!$R$6*calcolo!$AI24+'risultati intermedi'!$S$6)+(($G$5-45)/(30-45))*(('risultati intermedi'!$R$14*calcolo!$AI24+'risultati intermedi'!$S$14)-('risultati intermedi'!$R$6*calcolo!$AI24+'risultati intermedi'!$S$6))</f>
        <v>13.369850657436771</v>
      </c>
      <c r="AP24" s="18">
        <f>('risultati intermedi'!$R$7*calcolo!$AI24+'risultati intermedi'!$S$7)+(($G$5-45)/(30-45))*(('risultati intermedi'!$R$15*calcolo!$AI24+'risultati intermedi'!$S$15)-('risultati intermedi'!$R$7*calcolo!$AI24+'risultati intermedi'!$S$7))</f>
        <v>13.208868073619431</v>
      </c>
      <c r="AQ24" s="18">
        <f>('risultati intermedi'!$R$8*calcolo!$AI24+'risultati intermedi'!$S$8)+(($G$5-45)/(30-45))*(('risultati intermedi'!$R$15*calcolo!$AI24+'risultati intermedi'!$S$15)-('risultati intermedi'!$R$8*calcolo!$AI24+'risultati intermedi'!$S$8))</f>
        <v>14.890197049036463</v>
      </c>
      <c r="AR24" s="18">
        <f>('risultati intermedi'!$R$9*calcolo!$AI24+'risultati intermedi'!$S$9)+(($G$5-45)/(30-45))*(('risultati intermedi'!$R$16*calcolo!$AI24+'risultati intermedi'!$S$16)-('risultati intermedi'!$R$9*calcolo!$AI24+'risultati intermedi'!$S$9))</f>
        <v>13.867673095979351</v>
      </c>
      <c r="AS24" s="18">
        <f>('risultati intermedi'!$R$10*calcolo!$AI24+'risultati intermedi'!$S$10)+(($G$5-45)/(30-45))*(('risultati intermedi'!$R$17*calcolo!$AI24+'risultati intermedi'!$S$17)-('risultati intermedi'!$R$10*calcolo!$AI24+'risultati intermedi'!$S$10))</f>
        <v>12.133119549346004</v>
      </c>
      <c r="AT24" s="35"/>
      <c r="AU24" s="35"/>
      <c r="AV24" s="18">
        <f>'risultati intermedi'!$R$19*calcolo!$AI24+'risultati intermedi'!$S$19</f>
        <v>13.086852403699798</v>
      </c>
      <c r="AW24" s="18">
        <f>'risultati intermedi'!$R$20*calcolo!$AI24+'risultati intermedi'!$S$20</f>
        <v>12.927490342180473</v>
      </c>
      <c r="AX24" s="18">
        <f>'risultati intermedi'!$R$21*calcolo!$AI24+'risultati intermedi'!$S$21</f>
        <v>10.048028218894189</v>
      </c>
      <c r="AY24" s="18">
        <f>'risultati intermedi'!$R$22*calcolo!$AI24+'risultati intermedi'!$S$22</f>
        <v>10.900086509691338</v>
      </c>
      <c r="AZ24" s="18">
        <f>'risultati intermedi'!$R$23*calcolo!$AI24+'risultati intermedi'!$S$23</f>
        <v>6.8465060121001038</v>
      </c>
      <c r="BA24" s="18">
        <f>'risultati intermedi'!$R$24*calcolo!$AI24+'risultati intermedi'!$S$24</f>
        <v>7.2228567461335551</v>
      </c>
      <c r="BB24" s="18">
        <f>'risultati intermedi'!$R$25*calcolo!$AI24+'risultati intermedi'!$S$25</f>
        <v>9.9902857833175513</v>
      </c>
      <c r="BC24" s="18">
        <f>'risultati intermedi'!$R$26*calcolo!$AI24+'risultati intermedi'!$S$26</f>
        <v>4.5340482312475778</v>
      </c>
      <c r="BD24" s="18">
        <f>'risultati intermedi'!$R$27*calcolo!$AI24+'risultati intermedi'!$S$27</f>
        <v>5.700464241130291</v>
      </c>
      <c r="BE24" s="37"/>
      <c r="BF24" s="37"/>
      <c r="BG24" s="37"/>
      <c r="BH24" s="38"/>
      <c r="BI24" s="38"/>
      <c r="BJ24" s="37"/>
      <c r="BK24" s="37"/>
      <c r="BL24" s="37"/>
      <c r="BM24" s="37"/>
      <c r="BN24" s="38"/>
      <c r="BO24" s="38"/>
      <c r="BP24" s="37"/>
      <c r="BQ24" s="37"/>
      <c r="BR24" s="35"/>
      <c r="BS24" s="35"/>
      <c r="BT24" s="36"/>
      <c r="BU24" s="39"/>
      <c r="BV24" s="36"/>
      <c r="BX24" s="35"/>
      <c r="BZ24" s="35"/>
    </row>
    <row r="25" spans="5:78" x14ac:dyDescent="0.25">
      <c r="E25" s="8" t="s">
        <v>13</v>
      </c>
      <c r="F25" s="18">
        <v>198</v>
      </c>
      <c r="G25" s="15">
        <f t="shared" si="2"/>
        <v>21.183693564513842</v>
      </c>
      <c r="H25" s="16">
        <f t="shared" si="3"/>
        <v>40.166800391851211</v>
      </c>
      <c r="I25" s="17">
        <f t="shared" si="4"/>
        <v>-1.6707348284465816E-2</v>
      </c>
      <c r="J25" s="19">
        <f t="shared" si="5"/>
        <v>0.93142954762795771</v>
      </c>
      <c r="K25" s="12">
        <f t="shared" si="6"/>
        <v>0</v>
      </c>
      <c r="L25" s="17">
        <f t="shared" si="7"/>
        <v>0.24343242031172593</v>
      </c>
      <c r="M25" s="19">
        <f t="shared" si="8"/>
        <v>0.68910387794405725</v>
      </c>
      <c r="N25" s="17">
        <f t="shared" si="9"/>
        <v>110.6868044901596</v>
      </c>
      <c r="O25" s="13">
        <f t="shared" si="10"/>
        <v>0.86728186670772345</v>
      </c>
      <c r="P25" s="13">
        <f t="shared" si="11"/>
        <v>-88.972212245030605</v>
      </c>
      <c r="Q25" s="13">
        <f t="shared" si="12"/>
        <v>88.972212245030605</v>
      </c>
      <c r="R25" s="13">
        <f t="shared" si="13"/>
        <v>-88.972212245030605</v>
      </c>
      <c r="S25" s="13">
        <f t="shared" si="14"/>
        <v>88.972212245030605</v>
      </c>
      <c r="T25" s="9">
        <f t="shared" si="15"/>
        <v>-110.6868044901596</v>
      </c>
      <c r="U25" s="9">
        <f t="shared" si="16"/>
        <v>110.6868044901596</v>
      </c>
      <c r="V25" s="10" t="s">
        <v>38</v>
      </c>
      <c r="W25" s="26" t="s">
        <v>38</v>
      </c>
      <c r="X25" s="13">
        <f t="shared" si="0"/>
        <v>3017.0517528101077</v>
      </c>
      <c r="Y25" s="13">
        <f t="shared" si="17"/>
        <v>2449.8380059916381</v>
      </c>
      <c r="Z25" s="12">
        <f t="shared" si="18"/>
        <v>0.81199734267396573</v>
      </c>
      <c r="AA25" s="3">
        <f>HLOOKUP($E$2,'dati normativa'!$J$1:$DF$25,15,FALSE)</f>
        <v>15.9</v>
      </c>
      <c r="AB25" s="3">
        <f>HLOOKUP($E$2,'dati normativa'!$J$1:$DF$25,14,FALSE)</f>
        <v>7.7</v>
      </c>
      <c r="AC25" s="13">
        <f t="shared" si="19"/>
        <v>23.6</v>
      </c>
      <c r="AD25" s="12">
        <f t="shared" si="20"/>
        <v>0.58754991111484756</v>
      </c>
      <c r="AE25" s="13">
        <f t="shared" si="21"/>
        <v>0.30990148639636816</v>
      </c>
      <c r="AF25" s="15">
        <f t="shared" si="22"/>
        <v>0.85416494557426326</v>
      </c>
      <c r="AG25" s="139">
        <f t="shared" si="23"/>
        <v>20.158292715552616</v>
      </c>
      <c r="AH25" s="139">
        <f t="shared" si="24"/>
        <v>233.31357309667379</v>
      </c>
      <c r="AI25" s="139">
        <f t="shared" si="1"/>
        <v>36.77021912003579</v>
      </c>
      <c r="AL25" s="18">
        <f>('risultati intermedi'!$R$3*calcolo!$AI25+'risultati intermedi'!$S$3)+(($G$5-45)/(30-45))*(('risultati intermedi'!$R$11*calcolo!$AI25+'risultati intermedi'!$S$11)-('risultati intermedi'!$R$3*calcolo!$AI25+'risultati intermedi'!$S$3))</f>
        <v>17.150408243904053</v>
      </c>
      <c r="AM25" s="18">
        <f>('risultati intermedi'!$R$4*calcolo!$AI25+'risultati intermedi'!$S$4)+(($G$5-45)/(30-45))*(('risultati intermedi'!$R$12*calcolo!$AI25+'risultati intermedi'!$S$12)-('risultati intermedi'!$R$4*calcolo!$AI25+'risultati intermedi'!$S$4))</f>
        <v>17.73596100287201</v>
      </c>
      <c r="AN25" s="18">
        <f>('risultati intermedi'!$R$5*calcolo!$AI25+'risultati intermedi'!$S$5)+(($G$5-45)/(30-45))*(('risultati intermedi'!$R$13*calcolo!$AI25+'risultati intermedi'!$S$13)-('risultati intermedi'!$R$5*calcolo!$AI25+'risultati intermedi'!$S$5))</f>
        <v>20.359084210150908</v>
      </c>
      <c r="AO25" s="18">
        <f>('risultati intermedi'!$R$6*calcolo!$AI25+'risultati intermedi'!$S$6)+(($G$5-45)/(30-45))*(('risultati intermedi'!$R$14*calcolo!$AI25+'risultati intermedi'!$S$14)-('risultati intermedi'!$R$6*calcolo!$AI25+'risultati intermedi'!$S$6))</f>
        <v>17.395047247967241</v>
      </c>
      <c r="AP25" s="18">
        <f>('risultati intermedi'!$R$7*calcolo!$AI25+'risultati intermedi'!$S$7)+(($G$5-45)/(30-45))*(('risultati intermedi'!$R$15*calcolo!$AI25+'risultati intermedi'!$S$15)-('risultati intermedi'!$R$7*calcolo!$AI25+'risultati intermedi'!$S$7))</f>
        <v>17.345209528760101</v>
      </c>
      <c r="AQ25" s="18">
        <f>('risultati intermedi'!$R$8*calcolo!$AI25+'risultati intermedi'!$S$8)+(($G$5-45)/(30-45))*(('risultati intermedi'!$R$15*calcolo!$AI25+'risultati intermedi'!$S$15)-('risultati intermedi'!$R$8*calcolo!$AI25+'risultati intermedi'!$S$8))</f>
        <v>18.954594110487541</v>
      </c>
      <c r="AR25" s="18">
        <f>('risultati intermedi'!$R$9*calcolo!$AI25+'risultati intermedi'!$S$9)+(($G$5-45)/(30-45))*(('risultati intermedi'!$R$16*calcolo!$AI25+'risultati intermedi'!$S$16)-('risultati intermedi'!$R$9*calcolo!$AI25+'risultati intermedi'!$S$9))</f>
        <v>17.71300870228584</v>
      </c>
      <c r="AS25" s="18">
        <f>('risultati intermedi'!$R$10*calcolo!$AI25+'risultati intermedi'!$S$10)+(($G$5-45)/(30-45))*(('risultati intermedi'!$R$17*calcolo!$AI25+'risultati intermedi'!$S$17)-('risultati intermedi'!$R$10*calcolo!$AI25+'risultati intermedi'!$S$10))</f>
        <v>15.729416869803911</v>
      </c>
      <c r="AT25" s="35"/>
      <c r="AU25" s="35"/>
      <c r="AV25" s="18">
        <f>'risultati intermedi'!$R$19*calcolo!$AI25+'risultati intermedi'!$S$19</f>
        <v>17.176153293735734</v>
      </c>
      <c r="AW25" s="18">
        <f>'risultati intermedi'!$R$20*calcolo!$AI25+'risultati intermedi'!$S$20</f>
        <v>16.930550196191064</v>
      </c>
      <c r="AX25" s="18">
        <f>'risultati intermedi'!$R$21*calcolo!$AI25+'risultati intermedi'!$S$21</f>
        <v>14.253085793648637</v>
      </c>
      <c r="AY25" s="18">
        <f>'risultati intermedi'!$R$22*calcolo!$AI25+'risultati intermedi'!$S$22</f>
        <v>14.868096530878798</v>
      </c>
      <c r="AZ25" s="18">
        <f>'risultati intermedi'!$R$23*calcolo!$AI25+'risultati intermedi'!$S$23</f>
        <v>10.896606431215428</v>
      </c>
      <c r="BA25" s="18">
        <f>'risultati intermedi'!$R$24*calcolo!$AI25+'risultati intermedi'!$S$24</f>
        <v>11.207469319710921</v>
      </c>
      <c r="BB25" s="18">
        <f>'risultati intermedi'!$R$25*calcolo!$AI25+'risultati intermedi'!$S$25</f>
        <v>13.614715206436129</v>
      </c>
      <c r="BC25" s="18">
        <f>'risultati intermedi'!$R$26*calcolo!$AI25+'risultati intermedi'!$S$26</f>
        <v>8.6814580546481857</v>
      </c>
      <c r="BD25" s="18">
        <f>'risultati intermedi'!$R$27*calcolo!$AI25+'risultati intermedi'!$S$27</f>
        <v>9.801755863447827</v>
      </c>
      <c r="BE25" s="37"/>
      <c r="BF25" s="37"/>
      <c r="BG25" s="37"/>
      <c r="BH25" s="38"/>
      <c r="BI25" s="38"/>
      <c r="BJ25" s="37"/>
      <c r="BK25" s="37"/>
      <c r="BL25" s="37"/>
      <c r="BM25" s="37"/>
      <c r="BN25" s="38"/>
      <c r="BO25" s="38"/>
      <c r="BP25" s="37"/>
      <c r="BQ25" s="37"/>
      <c r="BR25" s="35"/>
      <c r="BS25" s="35"/>
      <c r="BT25" s="36"/>
      <c r="BU25" s="39"/>
      <c r="BV25" s="36"/>
      <c r="BX25" s="35"/>
      <c r="BZ25" s="35"/>
    </row>
    <row r="26" spans="5:78" x14ac:dyDescent="0.25">
      <c r="E26" s="8" t="s">
        <v>14</v>
      </c>
      <c r="F26" s="18">
        <v>228</v>
      </c>
      <c r="G26" s="15">
        <f t="shared" si="2"/>
        <v>13.454959682356431</v>
      </c>
      <c r="H26" s="16">
        <f t="shared" si="3"/>
        <v>35.690903756816112</v>
      </c>
      <c r="I26" s="17">
        <f t="shared" si="4"/>
        <v>-1.0757940685472289E-2</v>
      </c>
      <c r="J26" s="19">
        <f t="shared" si="5"/>
        <v>0.97151308611422327</v>
      </c>
      <c r="K26" s="12">
        <f t="shared" si="6"/>
        <v>0</v>
      </c>
      <c r="L26" s="17">
        <f t="shared" si="7"/>
        <v>0.15674728832159729</v>
      </c>
      <c r="M26" s="19">
        <f t="shared" si="8"/>
        <v>0.7187590696683791</v>
      </c>
      <c r="N26" s="17">
        <f t="shared" si="9"/>
        <v>102.59631249793634</v>
      </c>
      <c r="O26" s="13">
        <f t="shared" si="10"/>
        <v>0.94372194320339009</v>
      </c>
      <c r="P26" s="13">
        <f t="shared" si="11"/>
        <v>-89.365528674938233</v>
      </c>
      <c r="Q26" s="13">
        <f t="shared" si="12"/>
        <v>89.365528674938233</v>
      </c>
      <c r="R26" s="13">
        <f t="shared" si="13"/>
        <v>-89.365528674938233</v>
      </c>
      <c r="S26" s="13">
        <f t="shared" si="14"/>
        <v>89.365528674938233</v>
      </c>
      <c r="T26" s="9">
        <f t="shared" si="15"/>
        <v>-102.59631249793634</v>
      </c>
      <c r="U26" s="9">
        <f t="shared" si="16"/>
        <v>102.59631249793634</v>
      </c>
      <c r="V26" s="10" t="s">
        <v>38</v>
      </c>
      <c r="W26" s="26" t="s">
        <v>38</v>
      </c>
      <c r="X26" s="13">
        <f t="shared" si="0"/>
        <v>2657.6643973672135</v>
      </c>
      <c r="Y26" s="13">
        <f t="shared" si="17"/>
        <v>2583.3481590656288</v>
      </c>
      <c r="Z26" s="12">
        <f t="shared" si="18"/>
        <v>0.97203701175543256</v>
      </c>
      <c r="AA26" s="3">
        <f>HLOOKUP($E$2,'dati normativa'!$J$1:$DF$25,17,FALSE)</f>
        <v>13.1</v>
      </c>
      <c r="AB26" s="3">
        <f>HLOOKUP($E$2,'dati normativa'!$J$1:$DF$25,16,FALSE)</f>
        <v>7</v>
      </c>
      <c r="AC26" s="13">
        <f t="shared" si="19"/>
        <v>20.100000000000001</v>
      </c>
      <c r="AD26" s="12">
        <f t="shared" si="20"/>
        <v>0.56316870362693972</v>
      </c>
      <c r="AE26" s="13">
        <f t="shared" si="21"/>
        <v>0.33360002007461464</v>
      </c>
      <c r="AF26" s="15">
        <f t="shared" si="22"/>
        <v>0.96180019523856863</v>
      </c>
      <c r="AG26" s="139">
        <f t="shared" si="23"/>
        <v>19.332183924295229</v>
      </c>
      <c r="AH26" s="139">
        <f t="shared" si="24"/>
        <v>223.752128753417</v>
      </c>
      <c r="AI26" s="139">
        <f t="shared" si="1"/>
        <v>35.26333549153852</v>
      </c>
      <c r="AL26" s="18">
        <f>('risultati intermedi'!$R$3*calcolo!$AI26+'risultati intermedi'!$S$3)+(($G$5-45)/(30-45))*(('risultati intermedi'!$R$11*calcolo!$AI26+'risultati intermedi'!$S$11)-('risultati intermedi'!$R$3*calcolo!$AI26+'risultati intermedi'!$S$3))</f>
        <v>15.800843266221895</v>
      </c>
      <c r="AM26" s="18">
        <f>('risultati intermedi'!$R$4*calcolo!$AI26+'risultati intermedi'!$S$4)+(($G$5-45)/(30-45))*(('risultati intermedi'!$R$12*calcolo!$AI26+'risultati intermedi'!$S$12)-('risultati intermedi'!$R$4*calcolo!$AI26+'risultati intermedi'!$S$4))</f>
        <v>16.388053597181205</v>
      </c>
      <c r="AN26" s="18">
        <f>('risultati intermedi'!$R$5*calcolo!$AI26+'risultati intermedi'!$S$5)+(($G$5-45)/(30-45))*(('risultati intermedi'!$R$13*calcolo!$AI26+'risultati intermedi'!$S$13)-('risultati intermedi'!$R$5*calcolo!$AI26+'risultati intermedi'!$S$5))</f>
        <v>19.057890196943514</v>
      </c>
      <c r="AO26" s="18">
        <f>('risultati intermedi'!$R$6*calcolo!$AI26+'risultati intermedi'!$S$6)+(($G$5-45)/(30-45))*(('risultati intermedi'!$R$14*calcolo!$AI26+'risultati intermedi'!$S$14)-('risultati intermedi'!$R$6*calcolo!$AI26+'risultati intermedi'!$S$6))</f>
        <v>16.079839217014822</v>
      </c>
      <c r="AP26" s="18">
        <f>('risultati intermedi'!$R$7*calcolo!$AI26+'risultati intermedi'!$S$7)+(($G$5-45)/(30-45))*(('risultati intermedi'!$R$15*calcolo!$AI26+'risultati intermedi'!$S$15)-('risultati intermedi'!$R$7*calcolo!$AI26+'risultati intermedi'!$S$7))</f>
        <v>15.993685602360898</v>
      </c>
      <c r="AQ26" s="18">
        <f>('risultati intermedi'!$R$8*calcolo!$AI26+'risultati intermedi'!$S$8)+(($G$5-45)/(30-45))*(('risultati intermedi'!$R$15*calcolo!$AI26+'risultati intermedi'!$S$15)-('risultati intermedi'!$R$8*calcolo!$AI26+'risultati intermedi'!$S$8))</f>
        <v>17.626577568692895</v>
      </c>
      <c r="AR26" s="18">
        <f>('risultati intermedi'!$R$9*calcolo!$AI26+'risultati intermedi'!$S$9)+(($G$5-45)/(30-45))*(('risultati intermedi'!$R$16*calcolo!$AI26+'risultati intermedi'!$S$16)-('risultati intermedi'!$R$9*calcolo!$AI26+'risultati intermedi'!$S$9))</f>
        <v>16.45656913284482</v>
      </c>
      <c r="AS26" s="18">
        <f>('risultati intermedi'!$R$10*calcolo!$AI26+'risultati intermedi'!$S$10)+(($G$5-45)/(30-45))*(('risultati intermedi'!$R$17*calcolo!$AI26+'risultati intermedi'!$S$17)-('risultati intermedi'!$R$10*calcolo!$AI26+'risultati intermedi'!$S$10))</f>
        <v>14.554349016301737</v>
      </c>
      <c r="AT26" s="35"/>
      <c r="AU26" s="35"/>
      <c r="AV26" s="18">
        <f>'risultati intermedi'!$R$19*calcolo!$AI26+'risultati intermedi'!$S$19</f>
        <v>15.839999580347207</v>
      </c>
      <c r="AW26" s="18">
        <f>'risultati intermedi'!$R$20*calcolo!$AI26+'risultati intermedi'!$S$20</f>
        <v>15.622575206655434</v>
      </c>
      <c r="AX26" s="18">
        <f>'risultati intermedi'!$R$21*calcolo!$AI26+'risultati intermedi'!$S$21</f>
        <v>12.879109301184826</v>
      </c>
      <c r="AY26" s="18">
        <f>'risultati intermedi'!$R$22*calcolo!$AI26+'risultati intermedi'!$S$22</f>
        <v>13.571573856919745</v>
      </c>
      <c r="AZ26" s="18">
        <f>'risultati intermedi'!$R$23*calcolo!$AI26+'risultati intermedi'!$S$23</f>
        <v>9.5732612286691285</v>
      </c>
      <c r="BA26" s="18">
        <f>'risultati intermedi'!$R$24*calcolo!$AI26+'risultati intermedi'!$S$24</f>
        <v>9.9055218646892804</v>
      </c>
      <c r="BB26" s="18">
        <f>'risultati intermedi'!$R$25*calcolo!$AI26+'risultati intermedi'!$S$25</f>
        <v>12.430455362800126</v>
      </c>
      <c r="BC26" s="18">
        <f>'risultati intermedi'!$R$26*calcolo!$AI26+'risultati intermedi'!$S$26</f>
        <v>7.3263176075405916</v>
      </c>
      <c r="BD26" s="18">
        <f>'risultati intermedi'!$R$27*calcolo!$AI26+'risultati intermedi'!$S$27</f>
        <v>8.4616842526252043</v>
      </c>
      <c r="BE26" s="37"/>
      <c r="BF26" s="37"/>
      <c r="BG26" s="37"/>
      <c r="BH26" s="38"/>
      <c r="BI26" s="38"/>
      <c r="BJ26" s="37"/>
      <c r="BK26" s="37"/>
      <c r="BL26" s="37"/>
      <c r="BM26" s="37"/>
      <c r="BN26" s="38"/>
      <c r="BO26" s="38"/>
      <c r="BP26" s="37"/>
      <c r="BQ26" s="37"/>
      <c r="BR26" s="35"/>
      <c r="BS26" s="35"/>
      <c r="BT26" s="36"/>
      <c r="BU26" s="39"/>
      <c r="BV26" s="36"/>
      <c r="BX26" s="35"/>
      <c r="BZ26" s="35"/>
    </row>
    <row r="27" spans="5:78" x14ac:dyDescent="0.25">
      <c r="E27" s="8" t="s">
        <v>15</v>
      </c>
      <c r="F27" s="18">
        <v>258</v>
      </c>
      <c r="G27" s="15">
        <f t="shared" si="2"/>
        <v>2.2168867832133041</v>
      </c>
      <c r="H27" s="16">
        <f t="shared" si="3"/>
        <v>28.763108298656775</v>
      </c>
      <c r="I27" s="17">
        <f t="shared" si="4"/>
        <v>-1.7884668992786759E-3</v>
      </c>
      <c r="J27" s="19">
        <f t="shared" si="5"/>
        <v>0.99818296209389157</v>
      </c>
      <c r="K27" s="12">
        <f t="shared" si="6"/>
        <v>0</v>
      </c>
      <c r="L27" s="17">
        <f t="shared" si="7"/>
        <v>2.6058643090813852E-2</v>
      </c>
      <c r="M27" s="19">
        <f t="shared" si="8"/>
        <v>0.738490368733005</v>
      </c>
      <c r="N27" s="17">
        <f t="shared" si="9"/>
        <v>92.022179767850474</v>
      </c>
      <c r="O27" s="13">
        <f t="shared" si="10"/>
        <v>0.99636602720068557</v>
      </c>
      <c r="P27" s="13">
        <f t="shared" si="11"/>
        <v>-89.897341806216005</v>
      </c>
      <c r="Q27" s="13">
        <f t="shared" si="12"/>
        <v>89.897341806216005</v>
      </c>
      <c r="R27" s="13">
        <f t="shared" si="13"/>
        <v>-89.897341806216005</v>
      </c>
      <c r="S27" s="13">
        <f t="shared" si="14"/>
        <v>89.897341806216005</v>
      </c>
      <c r="T27" s="9">
        <f t="shared" si="15"/>
        <v>-92.022179767850474</v>
      </c>
      <c r="U27" s="9">
        <f t="shared" si="16"/>
        <v>92.022179767850474</v>
      </c>
      <c r="V27" s="10" t="s">
        <v>38</v>
      </c>
      <c r="W27" s="26" t="s">
        <v>38</v>
      </c>
      <c r="X27" s="13">
        <f t="shared" si="0"/>
        <v>2110.3633837713314</v>
      </c>
      <c r="Y27" s="13">
        <f t="shared" si="17"/>
        <v>2693.4854185891581</v>
      </c>
      <c r="Z27" s="12">
        <f t="shared" si="18"/>
        <v>1.2763135672756778</v>
      </c>
      <c r="AA27" s="3">
        <f>HLOOKUP($E$2,'dati normativa'!$J$1:$DF$25,19,FALSE)</f>
        <v>10</v>
      </c>
      <c r="AB27" s="3">
        <f>HLOOKUP($E$2,'dati normativa'!$J$1:$DF$25,18,FALSE)</f>
        <v>5.7</v>
      </c>
      <c r="AC27" s="13">
        <f t="shared" si="19"/>
        <v>15.7</v>
      </c>
      <c r="AD27" s="12">
        <f t="shared" si="20"/>
        <v>0.5458380866553697</v>
      </c>
      <c r="AE27" s="13">
        <f t="shared" si="21"/>
        <v>0.35044537977098067</v>
      </c>
      <c r="AF27" s="15">
        <f t="shared" si="22"/>
        <v>1.1574485384875111</v>
      </c>
      <c r="AG27" s="139">
        <f t="shared" si="23"/>
        <v>18.171942054253922</v>
      </c>
      <c r="AH27" s="139">
        <f t="shared" si="24"/>
        <v>210.32340340571668</v>
      </c>
      <c r="AI27" s="139">
        <f t="shared" si="1"/>
        <v>33.146968376740944</v>
      </c>
      <c r="AL27" s="18">
        <f>('risultati intermedi'!$R$3*calcolo!$AI27+'risultati intermedi'!$S$3)+(($G$5-45)/(30-45))*(('risultati intermedi'!$R$11*calcolo!$AI27+'risultati intermedi'!$S$11)-('risultati intermedi'!$R$3*calcolo!$AI27+'risultati intermedi'!$S$3))</f>
        <v>13.905424878209187</v>
      </c>
      <c r="AM27" s="18">
        <f>('risultati intermedi'!$R$4*calcolo!$AI27+'risultati intermedi'!$S$4)+(($G$5-45)/(30-45))*(('risultati intermedi'!$R$12*calcolo!$AI27+'risultati intermedi'!$S$12)-('risultati intermedi'!$R$4*calcolo!$AI27+'risultati intermedi'!$S$4))</f>
        <v>14.494963212994774</v>
      </c>
      <c r="AN27" s="18">
        <f>('risultati intermedi'!$R$5*calcolo!$AI27+'risultati intermedi'!$S$5)+(($G$5-45)/(30-45))*(('risultati intermedi'!$R$13*calcolo!$AI27+'risultati intermedi'!$S$13)-('risultati intermedi'!$R$5*calcolo!$AI27+'risultati intermedi'!$S$5))</f>
        <v>17.230407193315806</v>
      </c>
      <c r="AO27" s="18">
        <f>('risultati intermedi'!$R$6*calcolo!$AI27+'risultati intermedi'!$S$6)+(($G$5-45)/(30-45))*(('risultati intermedi'!$R$14*calcolo!$AI27+'risultati intermedi'!$S$14)-('risultati intermedi'!$R$6*calcolo!$AI27+'risultati intermedi'!$S$6))</f>
        <v>14.232673999219497</v>
      </c>
      <c r="AP27" s="18">
        <f>('risultati intermedi'!$R$7*calcolo!$AI27+'risultati intermedi'!$S$7)+(($G$5-45)/(30-45))*(('risultati intermedi'!$R$15*calcolo!$AI27+'risultati intermedi'!$S$15)-('risultati intermedi'!$R$7*calcolo!$AI27+'risultati intermedi'!$S$7))</f>
        <v>14.095515937098952</v>
      </c>
      <c r="AQ27" s="18">
        <f>('risultati intermedi'!$R$8*calcolo!$AI27+'risultati intermedi'!$S$8)+(($G$5-45)/(30-45))*(('risultati intermedi'!$R$15*calcolo!$AI27+'risultati intermedi'!$S$15)-('risultati intermedi'!$R$8*calcolo!$AI27+'risultati intermedi'!$S$8))</f>
        <v>15.761423230421791</v>
      </c>
      <c r="AR27" s="18">
        <f>('risultati intermedi'!$R$9*calcolo!$AI27+'risultati intermedi'!$S$9)+(($G$5-45)/(30-45))*(('risultati intermedi'!$R$16*calcolo!$AI27+'risultati intermedi'!$S$16)-('risultati intermedi'!$R$9*calcolo!$AI27+'risultati intermedi'!$S$9))</f>
        <v>14.691942232526598</v>
      </c>
      <c r="AS27" s="18">
        <f>('risultati intermedi'!$R$10*calcolo!$AI27+'risultati intermedi'!$S$10)+(($G$5-45)/(30-45))*(('risultati intermedi'!$R$17*calcolo!$AI27+'risultati intermedi'!$S$17)-('risultati intermedi'!$R$10*calcolo!$AI27+'risultati intermedi'!$S$10))</f>
        <v>12.904005940182588</v>
      </c>
      <c r="AT27" s="35"/>
      <c r="AU27" s="35"/>
      <c r="AV27" s="18">
        <f>'risultati intermedi'!$R$19*calcolo!$AI27+'risultati intermedi'!$S$19</f>
        <v>13.963416859656196</v>
      </c>
      <c r="AW27" s="18">
        <f>'risultati intermedi'!$R$20*calcolo!$AI27+'risultati intermedi'!$S$20</f>
        <v>13.785568551011139</v>
      </c>
      <c r="AX27" s="18">
        <f>'risultati intermedi'!$R$21*calcolo!$AI27+'risultati intermedi'!$S$21</f>
        <v>10.949405765912392</v>
      </c>
      <c r="AY27" s="18">
        <f>'risultati intermedi'!$R$22*calcolo!$AI27+'risultati intermedi'!$S$22</f>
        <v>11.750651591347911</v>
      </c>
      <c r="AZ27" s="18">
        <f>'risultati intermedi'!$R$23*calcolo!$AI27+'risultati intermedi'!$S$23</f>
        <v>7.7146676284538955</v>
      </c>
      <c r="BA27" s="18">
        <f>'risultati intermedi'!$R$24*calcolo!$AI27+'risultati intermedi'!$S$24</f>
        <v>8.0769806775041744</v>
      </c>
      <c r="BB27" s="18">
        <f>'risultati intermedi'!$R$25*calcolo!$AI27+'risultati intermedi'!$S$25</f>
        <v>10.767202447280708</v>
      </c>
      <c r="BC27" s="18">
        <f>'risultati intermedi'!$R$26*calcolo!$AI27+'risultati intermedi'!$S$26</f>
        <v>5.423068661203132</v>
      </c>
      <c r="BD27" s="18">
        <f>'risultati intermedi'!$R$27*calcolo!$AI27+'risultati intermedi'!$S$27</f>
        <v>6.5795989774357224</v>
      </c>
      <c r="BE27" s="37"/>
      <c r="BF27" s="37"/>
      <c r="BG27" s="37"/>
      <c r="BH27" s="38"/>
      <c r="BI27" s="38"/>
      <c r="BJ27" s="37"/>
      <c r="BK27" s="37"/>
      <c r="BL27" s="37"/>
      <c r="BM27" s="37"/>
      <c r="BN27" s="38"/>
      <c r="BO27" s="38"/>
      <c r="BP27" s="37"/>
      <c r="BQ27" s="37"/>
      <c r="BR27" s="35"/>
      <c r="BS27" s="35"/>
      <c r="BT27" s="36"/>
      <c r="BU27" s="39"/>
      <c r="BV27" s="36"/>
      <c r="BX27" s="35"/>
      <c r="BZ27" s="35"/>
    </row>
    <row r="28" spans="5:78" x14ac:dyDescent="0.25">
      <c r="E28" s="8" t="s">
        <v>16</v>
      </c>
      <c r="F28" s="18">
        <v>288</v>
      </c>
      <c r="G28" s="15">
        <f t="shared" si="2"/>
        <v>-9.5993972342263003</v>
      </c>
      <c r="H28" s="16">
        <f t="shared" si="3"/>
        <v>21.03887944140132</v>
      </c>
      <c r="I28" s="17">
        <f t="shared" si="4"/>
        <v>7.7100295585386096E-3</v>
      </c>
      <c r="J28" s="19">
        <f t="shared" si="5"/>
        <v>0.98494336812873695</v>
      </c>
      <c r="K28" s="12">
        <f t="shared" si="6"/>
        <v>0</v>
      </c>
      <c r="L28" s="17">
        <f t="shared" si="7"/>
        <v>-0.11233806371625601</v>
      </c>
      <c r="M28" s="19">
        <f t="shared" si="8"/>
        <v>0.72869525801633606</v>
      </c>
      <c r="N28" s="17">
        <f t="shared" si="9"/>
        <v>81.131726523851086</v>
      </c>
      <c r="O28" s="13">
        <f t="shared" si="10"/>
        <v>0.97005399386498714</v>
      </c>
      <c r="P28" s="13">
        <f t="shared" si="11"/>
        <v>-90.44850971081496</v>
      </c>
      <c r="Q28" s="13">
        <f t="shared" si="12"/>
        <v>90.44850971081496</v>
      </c>
      <c r="R28" s="13">
        <f t="shared" si="13"/>
        <v>-81.131726523851086</v>
      </c>
      <c r="S28" s="13">
        <f t="shared" si="14"/>
        <v>81.131726523851086</v>
      </c>
      <c r="T28" s="9">
        <f t="shared" si="15"/>
        <v>-81.131726523851086</v>
      </c>
      <c r="U28" s="9">
        <f t="shared" si="16"/>
        <v>81.131726523851086</v>
      </c>
      <c r="V28" s="10" t="s">
        <v>38</v>
      </c>
      <c r="W28" s="26" t="s">
        <v>38</v>
      </c>
      <c r="X28" s="13">
        <f t="shared" si="0"/>
        <v>1517.8265642037061</v>
      </c>
      <c r="Y28" s="13">
        <f t="shared" si="17"/>
        <v>2662.9374470948587</v>
      </c>
      <c r="Z28" s="12">
        <f t="shared" si="18"/>
        <v>1.7544411923584362</v>
      </c>
      <c r="AA28" s="3">
        <f>HLOOKUP($E$2,'dati normativa'!$J$1:$DF$25,21,FALSE)</f>
        <v>6.4</v>
      </c>
      <c r="AB28" s="3">
        <f>HLOOKUP($E$2,'dati normativa'!$J$1:$DF$25,20,FALSE)</f>
        <v>4.2</v>
      </c>
      <c r="AC28" s="13">
        <f t="shared" si="19"/>
        <v>10.600000000000001</v>
      </c>
      <c r="AD28" s="12">
        <f t="shared" si="20"/>
        <v>0.5038291145459397</v>
      </c>
      <c r="AE28" s="13">
        <f t="shared" si="21"/>
        <v>0.39127810066134661</v>
      </c>
      <c r="AF28" s="15">
        <f t="shared" si="22"/>
        <v>1.431232846256133</v>
      </c>
      <c r="AG28" s="139">
        <f t="shared" si="23"/>
        <v>15.171068170315012</v>
      </c>
      <c r="AH28" s="139">
        <f t="shared" si="24"/>
        <v>175.59106678605337</v>
      </c>
      <c r="AI28" s="139">
        <f t="shared" si="1"/>
        <v>27.673152125482009</v>
      </c>
      <c r="AL28" s="18">
        <f>('risultati intermedi'!$R$3*calcolo!$AI28+'risultati intermedi'!$S$3)+(($G$5-45)/(30-45))*(('risultati intermedi'!$R$11*calcolo!$AI28+'risultati intermedi'!$S$11)-('risultati intermedi'!$R$3*calcolo!$AI28+'risultati intermedi'!$S$3))</f>
        <v>9.0030750435816866</v>
      </c>
      <c r="AM28" s="18">
        <f>('risultati intermedi'!$R$4*calcolo!$AI28+'risultati intermedi'!$S$4)+(($G$5-45)/(30-45))*(('risultati intermedi'!$R$12*calcolo!$AI28+'risultati intermedi'!$S$12)-('risultati intermedi'!$R$4*calcolo!$AI28+'risultati intermedi'!$S$4))</f>
        <v>9.598634576243656</v>
      </c>
      <c r="AN28" s="18">
        <f>('risultati intermedi'!$R$5*calcolo!$AI28+'risultati intermedi'!$S$5)+(($G$5-45)/(30-45))*(('risultati intermedi'!$R$13*calcolo!$AI28+'risultati intermedi'!$S$13)-('risultati intermedi'!$R$5*calcolo!$AI28+'risultati intermedi'!$S$5))</f>
        <v>12.503766860353718</v>
      </c>
      <c r="AO28" s="18">
        <f>('risultati intermedi'!$R$6*calcolo!$AI28+'risultati intermedi'!$S$6)+(($G$5-45)/(30-45))*(('risultati intermedi'!$R$14*calcolo!$AI28+'risultati intermedi'!$S$14)-('risultati intermedi'!$R$6*calcolo!$AI28+'risultati intermedi'!$S$6))</f>
        <v>9.4551271751206976</v>
      </c>
      <c r="AP28" s="18">
        <f>('risultati intermedi'!$R$7*calcolo!$AI28+'risultati intermedi'!$S$7)+(($G$5-45)/(30-45))*(('risultati intermedi'!$R$15*calcolo!$AI28+'risultati intermedi'!$S$15)-('risultati intermedi'!$R$7*calcolo!$AI28+'risultati intermedi'!$S$7))</f>
        <v>9.1860501413448148</v>
      </c>
      <c r="AQ28" s="18">
        <f>('risultati intermedi'!$R$8*calcolo!$AI28+'risultati intermedi'!$S$8)+(($G$5-45)/(30-45))*(('risultati intermedi'!$R$15*calcolo!$AI28+'risultati intermedi'!$S$15)-('risultati intermedi'!$R$8*calcolo!$AI28+'risultati intermedi'!$S$8))</f>
        <v>10.937348968187294</v>
      </c>
      <c r="AR28" s="18">
        <f>('risultati intermedi'!$R$9*calcolo!$AI28+'risultati intermedi'!$S$9)+(($G$5-45)/(30-45))*(('risultati intermedi'!$R$16*calcolo!$AI28+'risultati intermedi'!$S$16)-('risultati intermedi'!$R$9*calcolo!$AI28+'risultati intermedi'!$S$9))</f>
        <v>10.1278742422269</v>
      </c>
      <c r="AS28" s="18">
        <f>('risultati intermedi'!$R$10*calcolo!$AI28+'risultati intermedi'!$S$10)+(($G$5-45)/(30-45))*(('risultati intermedi'!$R$17*calcolo!$AI28+'risultati intermedi'!$S$17)-('risultati intermedi'!$R$10*calcolo!$AI28+'risultati intermedi'!$S$10))</f>
        <v>8.635524027450872</v>
      </c>
      <c r="AT28" s="35"/>
      <c r="AU28" s="35"/>
      <c r="AV28" s="18">
        <f>'risultati intermedi'!$R$19*calcolo!$AI28+'risultati intermedi'!$S$19</f>
        <v>9.1097839896648978</v>
      </c>
      <c r="AW28" s="18">
        <f>'risultati intermedi'!$R$20*calcolo!$AI28+'risultati intermedi'!$S$20</f>
        <v>9.0342960449183813</v>
      </c>
      <c r="AX28" s="18">
        <f>'risultati intermedi'!$R$21*calcolo!$AI28+'risultati intermedi'!$S$21</f>
        <v>5.9583801080144951</v>
      </c>
      <c r="AY28" s="18">
        <f>'risultati intermedi'!$R$22*calcolo!$AI28+'risultati intermedi'!$S$22</f>
        <v>7.0409800887647229</v>
      </c>
      <c r="AZ28" s="18">
        <f>'risultati intermedi'!$R$23*calcolo!$AI28+'risultati intermedi'!$S$23</f>
        <v>2.907562196598299</v>
      </c>
      <c r="BA28" s="18">
        <f>'risultati intermedi'!$R$24*calcolo!$AI28+'risultati intermedi'!$S$24</f>
        <v>3.3476034364164526</v>
      </c>
      <c r="BB28" s="18">
        <f>'risultati intermedi'!$R$25*calcolo!$AI28+'risultati intermedi'!$S$25</f>
        <v>6.4653302554163137</v>
      </c>
      <c r="BC28" s="18">
        <f>'risultati intermedi'!$R$26*calcolo!$AI28+'risultati intermedi'!$S$26</f>
        <v>0.5004657064459721</v>
      </c>
      <c r="BD28" s="18">
        <f>'risultati intermedi'!$R$27*calcolo!$AI28+'risultati intermedi'!$S$27</f>
        <v>1.7117341851911512</v>
      </c>
      <c r="BE28" s="37"/>
      <c r="BF28" s="37"/>
      <c r="BG28" s="37"/>
      <c r="BH28" s="38"/>
      <c r="BI28" s="38"/>
      <c r="BJ28" s="37"/>
      <c r="BK28" s="37"/>
      <c r="BL28" s="37"/>
      <c r="BM28" s="37"/>
      <c r="BN28" s="38"/>
      <c r="BO28" s="38"/>
      <c r="BP28" s="37"/>
      <c r="BQ28" s="37"/>
      <c r="BR28" s="35"/>
      <c r="BS28" s="35"/>
      <c r="BT28" s="36"/>
      <c r="BU28" s="39"/>
      <c r="BV28" s="36"/>
      <c r="BX28" s="35"/>
      <c r="BZ28" s="35"/>
    </row>
    <row r="29" spans="5:78" x14ac:dyDescent="0.25">
      <c r="E29" s="8" t="s">
        <v>17</v>
      </c>
      <c r="F29" s="18">
        <v>318</v>
      </c>
      <c r="G29" s="15">
        <f t="shared" si="2"/>
        <v>-18.911954741226136</v>
      </c>
      <c r="H29" s="16">
        <f t="shared" si="3"/>
        <v>14.863657679080671</v>
      </c>
      <c r="I29" s="17">
        <f t="shared" si="4"/>
        <v>1.4985363074164879E-2</v>
      </c>
      <c r="J29" s="19">
        <f t="shared" si="5"/>
        <v>0.94500608420384824</v>
      </c>
      <c r="K29" s="12">
        <f t="shared" si="6"/>
        <v>0</v>
      </c>
      <c r="L29" s="17">
        <f t="shared" si="7"/>
        <v>-0.2183424407202724</v>
      </c>
      <c r="M29" s="19">
        <f t="shared" si="8"/>
        <v>0.69914827048810013</v>
      </c>
      <c r="N29" s="17">
        <f t="shared" si="9"/>
        <v>71.802240964177145</v>
      </c>
      <c r="O29" s="13">
        <f t="shared" si="10"/>
        <v>0.89281193807582615</v>
      </c>
      <c r="P29" s="13">
        <f t="shared" si="11"/>
        <v>-90.908601606480147</v>
      </c>
      <c r="Q29" s="13">
        <f t="shared" si="12"/>
        <v>90.908601606480147</v>
      </c>
      <c r="R29" s="13">
        <f t="shared" si="13"/>
        <v>-71.802240964177145</v>
      </c>
      <c r="S29" s="13">
        <f t="shared" si="14"/>
        <v>71.802240964177145</v>
      </c>
      <c r="T29" s="9">
        <f t="shared" si="15"/>
        <v>-71.802240964177145</v>
      </c>
      <c r="U29" s="9">
        <f t="shared" si="16"/>
        <v>71.802240964177145</v>
      </c>
      <c r="V29" s="10" t="s">
        <v>38</v>
      </c>
      <c r="W29" s="26" t="s">
        <v>38</v>
      </c>
      <c r="X29" s="13">
        <f t="shared" si="0"/>
        <v>1056.8452751371976</v>
      </c>
      <c r="Y29" s="13">
        <f t="shared" si="17"/>
        <v>2480.1040726922661</v>
      </c>
      <c r="Z29" s="12">
        <f t="shared" si="18"/>
        <v>2.3467049823071817</v>
      </c>
      <c r="AA29" s="3">
        <f>HLOOKUP($E$2,'dati normativa'!$J$1:$DF$25,23,FALSE)</f>
        <v>3.4</v>
      </c>
      <c r="AB29" s="3">
        <f>HLOOKUP($E$2,'dati normativa'!$J$1:$DF$25,22,FALSE)</f>
        <v>3</v>
      </c>
      <c r="AC29" s="13">
        <f t="shared" si="19"/>
        <v>6.4</v>
      </c>
      <c r="AD29" s="12">
        <f t="shared" si="20"/>
        <v>0.43058042227435406</v>
      </c>
      <c r="AE29" s="13">
        <f t="shared" si="21"/>
        <v>0.46247582954932787</v>
      </c>
      <c r="AF29" s="15">
        <f t="shared" si="22"/>
        <v>1.6854477831677379</v>
      </c>
      <c r="AG29" s="139">
        <f t="shared" si="23"/>
        <v>10.786865812273524</v>
      </c>
      <c r="AH29" s="139">
        <f t="shared" si="24"/>
        <v>124.84798393835096</v>
      </c>
      <c r="AI29" s="139">
        <f t="shared" si="1"/>
        <v>19.67604226868411</v>
      </c>
      <c r="AL29" s="18">
        <f>('risultati intermedi'!$R$3*calcolo!$AI29+'risultati intermedi'!$S$3)+(($G$5-45)/(30-45))*(('risultati intermedi'!$R$11*calcolo!$AI29+'risultati intermedi'!$S$11)-('risultati intermedi'!$R$3*calcolo!$AI29+'risultati intermedi'!$S$3))</f>
        <v>1.8408634558334871</v>
      </c>
      <c r="AM29" s="18">
        <f>('risultati intermedi'!$R$4*calcolo!$AI29+'risultati intermedi'!$S$4)+(($G$5-45)/(30-45))*(('risultati intermedi'!$R$12*calcolo!$AI29+'risultati intermedi'!$S$12)-('risultati intermedi'!$R$4*calcolo!$AI29+'risultati intermedi'!$S$4))</f>
        <v>2.4452198093379369</v>
      </c>
      <c r="AN29" s="18">
        <f>('risultati intermedi'!$R$5*calcolo!$AI29+'risultati intermedi'!$S$5)+(($G$5-45)/(30-45))*(('risultati intermedi'!$R$13*calcolo!$AI29+'risultati intermedi'!$S$13)-('risultati intermedi'!$R$5*calcolo!$AI29+'risultati intermedi'!$S$5))</f>
        <v>5.5982624990087295</v>
      </c>
      <c r="AO29" s="18">
        <f>('risultati intermedi'!$R$6*calcolo!$AI29+'risultati intermedi'!$S$6)+(($G$5-45)/(30-45))*(('risultati intermedi'!$R$14*calcolo!$AI29+'risultati intermedi'!$S$14)-('risultati intermedi'!$R$6*calcolo!$AI29+'risultati intermedi'!$S$6))</f>
        <v>2.4752496921074929</v>
      </c>
      <c r="AP29" s="18">
        <f>('risultati intermedi'!$R$7*calcolo!$AI29+'risultati intermedi'!$S$7)+(($G$5-45)/(30-45))*(('risultati intermedi'!$R$15*calcolo!$AI29+'risultati intermedi'!$S$15)-('risultati intermedi'!$R$7*calcolo!$AI29+'risultati intermedi'!$S$7))</f>
        <v>2.0134423107827786</v>
      </c>
      <c r="AQ29" s="18">
        <f>('risultati intermedi'!$R$8*calcolo!$AI29+'risultati intermedi'!$S$8)+(($G$5-45)/(30-45))*(('risultati intermedi'!$R$15*calcolo!$AI29+'risultati intermedi'!$S$15)-('risultati intermedi'!$R$8*calcolo!$AI29+'risultati intermedi'!$S$8))</f>
        <v>3.8894960513913048</v>
      </c>
      <c r="AR29" s="18">
        <f>('risultati intermedi'!$R$9*calcolo!$AI29+'risultati intermedi'!$S$9)+(($G$5-45)/(30-45))*(('risultati intermedi'!$R$16*calcolo!$AI29+'risultati intermedi'!$S$16)-('risultati intermedi'!$R$9*calcolo!$AI29+'risultati intermedi'!$S$9))</f>
        <v>3.4598840436288096</v>
      </c>
      <c r="AS29" s="18">
        <f>('risultati intermedi'!$R$10*calcolo!$AI29+'risultati intermedi'!$S$10)+(($G$5-45)/(30-45))*(('risultati intermedi'!$R$17*calcolo!$AI29+'risultati intermedi'!$S$17)-('risultati intermedi'!$R$10*calcolo!$AI29+'risultati intermedi'!$S$10))</f>
        <v>2.3993777611198688</v>
      </c>
      <c r="AT29" s="35"/>
      <c r="AU29" s="35"/>
      <c r="AV29" s="18">
        <f>'risultati intermedi'!$R$19*calcolo!$AI29+'risultati intermedi'!$S$19</f>
        <v>2.0187466796422022</v>
      </c>
      <c r="AW29" s="18">
        <f>'risultati intermedi'!$R$20*calcolo!$AI29+'risultati intermedi'!$S$20</f>
        <v>2.0928046892178074</v>
      </c>
      <c r="AX29" s="18">
        <f>'risultati intermedi'!$R$21*calcolo!$AI29+'risultati intermedi'!$S$21</f>
        <v>-1.3333846594138272</v>
      </c>
      <c r="AY29" s="18">
        <f>'risultati intermedi'!$R$22*calcolo!$AI29+'risultati intermedi'!$S$22</f>
        <v>0.16026676797581274</v>
      </c>
      <c r="AZ29" s="18">
        <f>'risultati intermedi'!$R$23*calcolo!$AI29+'risultati intermedi'!$S$23</f>
        <v>-4.1154996796416157</v>
      </c>
      <c r="BA29" s="18">
        <f>'risultati intermedi'!$R$24*calcolo!$AI29+'risultati intermedi'!$S$24</f>
        <v>-3.5618994798569297</v>
      </c>
      <c r="BB29" s="18">
        <f>'risultati intermedi'!$R$25*calcolo!$AI29+'risultati intermedi'!$S$25</f>
        <v>0.1804016189588431</v>
      </c>
      <c r="BC29" s="18">
        <f>'risultati intermedi'!$R$26*calcolo!$AI29+'risultati intermedi'!$S$26</f>
        <v>-6.6913351877723777</v>
      </c>
      <c r="BD29" s="18">
        <f>'risultati intermedi'!$R$27*calcolo!$AI29+'risultati intermedi'!$S$27</f>
        <v>-5.4000956104592213</v>
      </c>
      <c r="BE29" s="37"/>
      <c r="BF29" s="37"/>
      <c r="BG29" s="37"/>
      <c r="BH29" s="38"/>
      <c r="BI29" s="38"/>
      <c r="BJ29" s="37"/>
      <c r="BK29" s="37"/>
      <c r="BL29" s="37"/>
      <c r="BM29" s="37"/>
      <c r="BN29" s="38"/>
      <c r="BO29" s="38"/>
      <c r="BP29" s="37"/>
      <c r="BQ29" s="37"/>
      <c r="BR29" s="35"/>
      <c r="BS29" s="35"/>
      <c r="BT29" s="36"/>
      <c r="BU29" s="39"/>
      <c r="BV29" s="36"/>
      <c r="BX29" s="35"/>
      <c r="BZ29" s="35"/>
    </row>
    <row r="30" spans="5:78" x14ac:dyDescent="0.25">
      <c r="E30" s="8" t="s">
        <v>18</v>
      </c>
      <c r="F30" s="18">
        <v>344</v>
      </c>
      <c r="G30" s="15">
        <f t="shared" si="2"/>
        <v>-23.049627643930584</v>
      </c>
      <c r="H30" s="16">
        <f t="shared" si="3"/>
        <v>12.18109273543863</v>
      </c>
      <c r="I30" s="17">
        <f t="shared" si="4"/>
        <v>1.8102207601022522E-2</v>
      </c>
      <c r="J30" s="19">
        <f t="shared" si="5"/>
        <v>0.91918204718483121</v>
      </c>
      <c r="K30" s="12">
        <f>COS(RADIANS(G30))*(SIN(RADIANS($G$5))*SIN(RADIANS($G$6)))</f>
        <v>0</v>
      </c>
      <c r="L30" s="17">
        <f t="shared" si="7"/>
        <v>-0.26375605118613998</v>
      </c>
      <c r="M30" s="19">
        <f t="shared" si="8"/>
        <v>0.6800427524172008</v>
      </c>
      <c r="N30" s="17">
        <f t="shared" si="9"/>
        <v>67.179079553168975</v>
      </c>
      <c r="O30" s="13">
        <f t="shared" si="10"/>
        <v>0.84456794594686679</v>
      </c>
      <c r="P30" s="13">
        <f t="shared" si="11"/>
        <v>-91.128445833722992</v>
      </c>
      <c r="Q30" s="13">
        <f t="shared" si="12"/>
        <v>91.128445833722992</v>
      </c>
      <c r="R30" s="13">
        <f t="shared" si="13"/>
        <v>-67.179079553168975</v>
      </c>
      <c r="S30" s="13">
        <f t="shared" si="14"/>
        <v>67.179079553168975</v>
      </c>
      <c r="T30" s="9">
        <f t="shared" si="15"/>
        <v>-67.179079553168975</v>
      </c>
      <c r="U30" s="9">
        <f t="shared" si="16"/>
        <v>67.179079553168975</v>
      </c>
      <c r="V30" s="10" t="s">
        <v>38</v>
      </c>
      <c r="W30" s="26" t="s">
        <v>38</v>
      </c>
      <c r="X30" s="13">
        <f t="shared" si="0"/>
        <v>859.30962873721455</v>
      </c>
      <c r="Y30" s="13">
        <f t="shared" si="17"/>
        <v>2350.0384510183671</v>
      </c>
      <c r="Z30" s="12">
        <f t="shared" si="18"/>
        <v>2.7347982292155049</v>
      </c>
      <c r="AA30" s="3">
        <f>HLOOKUP($E$2,'dati normativa'!$J$1:$DF$25,25,FALSE)</f>
        <v>2.6</v>
      </c>
      <c r="AB30" s="3">
        <f>HLOOKUP($E$2,'dati normativa'!$J$1:$DF$25,24,FALSE)</f>
        <v>2.5</v>
      </c>
      <c r="AC30" s="13">
        <f t="shared" si="19"/>
        <v>5.0999999999999996</v>
      </c>
      <c r="AD30" s="12">
        <f t="shared" si="20"/>
        <v>0.41868164956683201</v>
      </c>
      <c r="AE30" s="13">
        <f t="shared" si="21"/>
        <v>0.47404143662103931</v>
      </c>
      <c r="AF30" s="15">
        <f t="shared" si="22"/>
        <v>1.8722995451604525</v>
      </c>
      <c r="AG30" s="139">
        <f t="shared" si="23"/>
        <v>9.5487276803183079</v>
      </c>
      <c r="AH30" s="139">
        <f t="shared" si="24"/>
        <v>110.5176814851656</v>
      </c>
      <c r="AI30" s="139">
        <f t="shared" si="1"/>
        <v>17.417586602062098</v>
      </c>
      <c r="AL30" s="18">
        <f>('risultati intermedi'!$R$3*calcolo!$AI30+'risultati intermedi'!$S$3)+(($G$5-45)/(30-45))*(('risultati intermedi'!$R$11*calcolo!$AI30+'risultati intermedi'!$S$11)-('risultati intermedi'!$R$3*calcolo!$AI30+'risultati intermedi'!$S$3))</f>
        <v>-0.18180943919318615</v>
      </c>
      <c r="AM30" s="18">
        <f>('risultati intermedi'!$R$4*calcolo!$AI30+'risultati intermedi'!$S$4)+(($G$5-45)/(30-45))*(('risultati intermedi'!$R$12*calcolo!$AI30+'risultati intermedi'!$S$12)-('risultati intermedi'!$R$4*calcolo!$AI30+'risultati intermedi'!$S$4))</f>
        <v>0.42503121554454637</v>
      </c>
      <c r="AN30" s="18">
        <f>('risultati intermedi'!$R$5*calcolo!$AI30+'risultati intermedi'!$S$5)+(($G$5-45)/(30-45))*(('risultati intermedi'!$R$13*calcolo!$AI30+'risultati intermedi'!$S$13)-('risultati intermedi'!$R$5*calcolo!$AI30+'risultati intermedi'!$S$5))</f>
        <v>3.6480860308806236</v>
      </c>
      <c r="AO30" s="18">
        <f>('risultati intermedi'!$R$6*calcolo!$AI30+'risultati intermedi'!$S$6)+(($G$5-45)/(30-45))*(('risultati intermedi'!$R$14*calcolo!$AI30+'risultati intermedi'!$S$14)-('risultati intermedi'!$R$6*calcolo!$AI30+'risultati intermedi'!$S$6))</f>
        <v>0.50406958627979925</v>
      </c>
      <c r="AP30" s="18">
        <f>('risultati intermedi'!$R$7*calcolo!$AI30+'risultati intermedi'!$S$7)+(($G$5-45)/(30-45))*(('risultati intermedi'!$R$15*calcolo!$AI30+'risultati intermedi'!$S$15)-('risultati intermedi'!$R$7*calcolo!$AI30+'risultati intermedi'!$S$7))</f>
        <v>-1.216657661050391E-2</v>
      </c>
      <c r="AQ30" s="18">
        <f>('risultati intermedi'!$R$8*calcolo!$AI30+'risultati intermedi'!$S$8)+(($G$5-45)/(30-45))*(('risultati intermedi'!$R$15*calcolo!$AI30+'risultati intermedi'!$S$15)-('risultati intermedi'!$R$8*calcolo!$AI30+'risultati intermedi'!$S$8))</f>
        <v>1.8991190723973261</v>
      </c>
      <c r="AR30" s="18">
        <f>('risultati intermedi'!$R$9*calcolo!$AI30+'risultati intermedi'!$S$9)+(($G$5-45)/(30-45))*(('risultati intermedi'!$R$16*calcolo!$AI30+'risultati intermedi'!$S$16)-('risultati intermedi'!$R$9*calcolo!$AI30+'risultati intermedi'!$S$9))</f>
        <v>1.5767837087993772</v>
      </c>
      <c r="AS30" s="18">
        <f>('risultati intermedi'!$R$10*calcolo!$AI30+'risultati intermedi'!$S$10)+(($G$5-45)/(30-45))*(('risultati intermedi'!$R$17*calcolo!$AI30+'risultati intermedi'!$S$17)-('risultati intermedi'!$R$10*calcolo!$AI30+'risultati intermedi'!$S$10))</f>
        <v>0.63823403228802356</v>
      </c>
      <c r="AT30" s="35"/>
      <c r="AU30" s="35"/>
      <c r="AV30" s="18">
        <f>'risultati intermedi'!$R$19*calcolo!$AI30+'risultati intermedi'!$S$19</f>
        <v>1.6174040048461791E-2</v>
      </c>
      <c r="AW30" s="18">
        <f>'risultati intermedi'!$R$20*calcolo!$AI30+'risultati intermedi'!$S$20</f>
        <v>0.13246517058990115</v>
      </c>
      <c r="AX30" s="18">
        <f>'risultati intermedi'!$R$21*calcolo!$AI30+'risultati intermedi'!$S$21</f>
        <v>-3.3926445362397786</v>
      </c>
      <c r="AY30" s="18">
        <f>'risultati intermedi'!$R$22*calcolo!$AI30+'risultati intermedi'!$S$22</f>
        <v>-1.7829084875857681</v>
      </c>
      <c r="AZ30" s="18">
        <f>'risultati intermedi'!$R$23*calcolo!$AI30+'risultati intermedi'!$S$23</f>
        <v>-6.0988754460690657</v>
      </c>
      <c r="BA30" s="18">
        <f>'risultati intermedi'!$R$24*calcolo!$AI30+'risultati intermedi'!$S$24</f>
        <v>-5.5132051758183493</v>
      </c>
      <c r="BB30" s="18">
        <f>'risultati intermedi'!$R$25*calcolo!$AI30+'risultati intermedi'!$S$25</f>
        <v>-1.5945186894393952</v>
      </c>
      <c r="BC30" s="18">
        <f>'risultati intermedi'!$R$26*calcolo!$AI30+'risultati intermedi'!$S$26</f>
        <v>-8.7223643687655539</v>
      </c>
      <c r="BD30" s="18">
        <f>'risultati intermedi'!$R$27*calcolo!$AI30+'risultati intermedi'!$S$27</f>
        <v>-7.4085402347861766</v>
      </c>
      <c r="BE30" s="37"/>
      <c r="BF30" s="37"/>
      <c r="BG30" s="37"/>
      <c r="BH30" s="38"/>
      <c r="BI30" s="38"/>
      <c r="BJ30" s="37"/>
      <c r="BK30" s="37"/>
      <c r="BL30" s="37"/>
      <c r="BM30" s="37"/>
      <c r="BN30" s="38"/>
      <c r="BO30" s="38"/>
      <c r="BP30" s="37"/>
      <c r="BQ30" s="37"/>
      <c r="BR30" s="35"/>
      <c r="BS30" s="35"/>
      <c r="BT30" s="36"/>
      <c r="BU30" s="39"/>
      <c r="BV30" s="36"/>
      <c r="BX30" s="35"/>
      <c r="BZ30" s="35"/>
    </row>
    <row r="31" spans="5:78" x14ac:dyDescent="0.25"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L31" s="140">
        <f t="shared" ref="AL31:AS31" si="25">ROUND(SUM(AL19:AL30)*8.76,2)</f>
        <v>923.78</v>
      </c>
      <c r="AM31" s="140">
        <f t="shared" si="25"/>
        <v>986.41</v>
      </c>
      <c r="AN31" s="140">
        <f t="shared" si="25"/>
        <v>1292.58</v>
      </c>
      <c r="AO31" s="140">
        <f t="shared" si="25"/>
        <v>971.87</v>
      </c>
      <c r="AP31" s="140">
        <f t="shared" si="25"/>
        <v>942.98</v>
      </c>
      <c r="AQ31" s="140">
        <f t="shared" si="25"/>
        <v>1127.47</v>
      </c>
      <c r="AR31" s="140">
        <f t="shared" si="25"/>
        <v>1043.58</v>
      </c>
      <c r="AS31" s="140">
        <f t="shared" si="25"/>
        <v>888.07</v>
      </c>
      <c r="AV31" s="140">
        <f>ROUND(SUM(AV19:AV30)*8.76,2)</f>
        <v>935.22</v>
      </c>
      <c r="AW31" s="140">
        <f>SUM(AW19:AW30)*8.76</f>
        <v>927.75743646049852</v>
      </c>
      <c r="AX31" s="140">
        <f t="shared" ref="AX31:BD31" si="26">SUM(AX19:AX30)*8.76</f>
        <v>603.31066002382806</v>
      </c>
      <c r="AY31" s="140">
        <f t="shared" si="26"/>
        <v>718.41205739471582</v>
      </c>
      <c r="AZ31" s="140">
        <f t="shared" si="26"/>
        <v>283.45749783826022</v>
      </c>
      <c r="BA31" s="140">
        <f t="shared" si="26"/>
        <v>330.0733590574547</v>
      </c>
      <c r="BB31" s="140">
        <f t="shared" si="26"/>
        <v>659.78179576302546</v>
      </c>
      <c r="BC31" s="140">
        <f t="shared" si="26"/>
        <v>29.890478139316215</v>
      </c>
      <c r="BD31" s="140">
        <f t="shared" si="26"/>
        <v>157.47164463170671</v>
      </c>
    </row>
    <row r="32" spans="5:78" x14ac:dyDescent="0.25">
      <c r="AL32" s="123" t="s">
        <v>398</v>
      </c>
      <c r="AM32" s="123" t="s">
        <v>399</v>
      </c>
      <c r="AN32" s="123" t="s">
        <v>396</v>
      </c>
      <c r="AO32" s="123" t="s">
        <v>403</v>
      </c>
      <c r="AP32" s="123" t="s">
        <v>400</v>
      </c>
      <c r="AQ32" s="124" t="s">
        <v>397</v>
      </c>
      <c r="AR32" s="124" t="s">
        <v>401</v>
      </c>
      <c r="AS32" s="124" t="s">
        <v>402</v>
      </c>
      <c r="AT32" s="57"/>
      <c r="AU32" s="57"/>
      <c r="AV32" s="123">
        <v>30</v>
      </c>
      <c r="AW32" s="123">
        <v>40</v>
      </c>
      <c r="AX32" s="123">
        <v>50</v>
      </c>
      <c r="AY32" s="123">
        <v>60</v>
      </c>
      <c r="AZ32" s="123">
        <v>70</v>
      </c>
      <c r="BA32" s="123">
        <v>80</v>
      </c>
      <c r="BB32" s="123">
        <v>90</v>
      </c>
      <c r="BC32" s="123">
        <v>100</v>
      </c>
      <c r="BD32" s="123">
        <v>110</v>
      </c>
    </row>
    <row r="35" spans="5:51" x14ac:dyDescent="0.25">
      <c r="AV35" s="30"/>
      <c r="AW35" s="30"/>
      <c r="AX35" s="30"/>
      <c r="AY35" s="30"/>
    </row>
    <row r="36" spans="5:51" x14ac:dyDescent="0.25">
      <c r="AV36" s="30"/>
      <c r="AW36" s="30"/>
      <c r="AX36" s="30"/>
      <c r="AY36" s="30"/>
    </row>
    <row r="37" spans="5:51" x14ac:dyDescent="0.25">
      <c r="AV37" s="136"/>
      <c r="AW37" s="136"/>
      <c r="AX37" s="136"/>
      <c r="AY37" s="136"/>
    </row>
    <row r="38" spans="5:51" x14ac:dyDescent="0.25">
      <c r="AV38" s="136"/>
      <c r="AW38" s="136"/>
      <c r="AX38" s="136"/>
      <c r="AY38" s="136"/>
    </row>
    <row r="40" spans="5:51" x14ac:dyDescent="0.25"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5:51" x14ac:dyDescent="0.25"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5:51" x14ac:dyDescent="0.25"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5:51" x14ac:dyDescent="0.25">
      <c r="E43" s="22"/>
      <c r="F43" s="22"/>
      <c r="G43" s="22"/>
      <c r="H43" s="22"/>
      <c r="I43" s="22"/>
      <c r="J43" s="35"/>
      <c r="K43" s="22"/>
      <c r="L43" s="35"/>
      <c r="M43" s="22"/>
      <c r="N43" s="22"/>
      <c r="O43" s="22"/>
      <c r="P43" s="22"/>
      <c r="Q43" s="22"/>
      <c r="R43" s="22"/>
      <c r="S43" s="22"/>
      <c r="T43" s="22"/>
    </row>
    <row r="44" spans="5:51" x14ac:dyDescent="0.25">
      <c r="E44" s="22"/>
      <c r="F44" s="22"/>
      <c r="G44" s="22"/>
      <c r="H44" s="22"/>
      <c r="I44" s="22"/>
      <c r="J44" s="35"/>
      <c r="K44" s="22"/>
      <c r="L44" s="35"/>
      <c r="M44" s="22"/>
      <c r="N44" s="22"/>
      <c r="O44" s="22"/>
      <c r="P44" s="22"/>
      <c r="Q44" s="22"/>
      <c r="R44" s="22"/>
      <c r="S44" s="22"/>
      <c r="T44" s="22"/>
    </row>
    <row r="45" spans="5:51" x14ac:dyDescent="0.25">
      <c r="E45" s="22"/>
      <c r="F45" s="22"/>
      <c r="G45" s="22"/>
      <c r="H45" s="22"/>
      <c r="I45" s="22"/>
      <c r="J45" s="35"/>
      <c r="K45" s="22"/>
      <c r="L45" s="35"/>
      <c r="M45" s="22"/>
      <c r="N45" s="22"/>
      <c r="O45" s="22"/>
      <c r="P45" s="22"/>
      <c r="Q45" s="22"/>
      <c r="R45" s="22"/>
      <c r="S45" s="22"/>
      <c r="T45" s="22"/>
    </row>
    <row r="46" spans="5:51" x14ac:dyDescent="0.25">
      <c r="E46" s="22"/>
      <c r="F46" s="22"/>
      <c r="G46" s="22"/>
      <c r="H46" s="22"/>
      <c r="I46" s="22"/>
      <c r="J46" s="35"/>
      <c r="K46" s="22"/>
      <c r="L46" s="35"/>
      <c r="M46" s="22"/>
      <c r="N46" s="22"/>
      <c r="O46" s="22"/>
      <c r="P46" s="22"/>
      <c r="Q46" s="22"/>
      <c r="R46" s="22"/>
      <c r="S46" s="22"/>
      <c r="T46" s="22"/>
    </row>
    <row r="47" spans="5:51" x14ac:dyDescent="0.25">
      <c r="E47" s="22"/>
      <c r="F47" s="22"/>
      <c r="G47" s="22"/>
      <c r="H47" s="22"/>
      <c r="I47" s="22"/>
      <c r="J47" s="35"/>
      <c r="K47" s="22"/>
      <c r="L47" s="35"/>
      <c r="M47" s="22"/>
      <c r="N47" s="22"/>
      <c r="O47" s="22"/>
      <c r="P47" s="22"/>
      <c r="Q47" s="22"/>
      <c r="R47" s="22"/>
      <c r="S47" s="22"/>
      <c r="T47" s="22"/>
    </row>
    <row r="48" spans="5:51" x14ac:dyDescent="0.25">
      <c r="E48" s="22"/>
      <c r="F48" s="22"/>
      <c r="G48" s="22"/>
      <c r="H48" s="22"/>
      <c r="I48" s="22"/>
      <c r="J48" s="35"/>
      <c r="K48" s="22"/>
      <c r="L48" s="35"/>
      <c r="M48" s="22"/>
      <c r="N48" s="22"/>
      <c r="O48" s="22"/>
      <c r="P48" s="22"/>
      <c r="Q48" s="22"/>
      <c r="R48" s="22"/>
      <c r="S48" s="22"/>
      <c r="T48" s="22"/>
    </row>
    <row r="49" spans="5:20" x14ac:dyDescent="0.25">
      <c r="E49" s="22"/>
      <c r="F49" s="22"/>
      <c r="G49" s="22"/>
      <c r="H49" s="22"/>
      <c r="I49" s="22"/>
      <c r="J49" s="35"/>
      <c r="K49" s="22"/>
      <c r="L49" s="35"/>
      <c r="M49" s="22"/>
      <c r="N49" s="22"/>
      <c r="O49" s="22"/>
      <c r="P49" s="22"/>
      <c r="Q49" s="22"/>
      <c r="R49" s="22"/>
      <c r="S49" s="22"/>
      <c r="T49" s="22"/>
    </row>
    <row r="50" spans="5:20" x14ac:dyDescent="0.25">
      <c r="E50" s="22"/>
      <c r="F50" s="22"/>
      <c r="G50" s="22"/>
      <c r="H50" s="22"/>
      <c r="I50" s="22"/>
      <c r="J50" s="35"/>
      <c r="K50" s="22"/>
      <c r="L50" s="35"/>
      <c r="M50" s="22"/>
      <c r="N50" s="22"/>
      <c r="O50" s="22"/>
      <c r="P50" s="22"/>
      <c r="Q50" s="22"/>
      <c r="R50" s="22"/>
      <c r="S50" s="22"/>
      <c r="T50" s="22"/>
    </row>
    <row r="51" spans="5:20" x14ac:dyDescent="0.25">
      <c r="E51" s="22"/>
      <c r="F51" s="22"/>
      <c r="G51" s="22"/>
      <c r="H51" s="22"/>
      <c r="I51" s="22"/>
      <c r="J51" s="35"/>
      <c r="K51" s="22"/>
      <c r="L51" s="35"/>
      <c r="M51" s="22"/>
      <c r="N51" s="22"/>
      <c r="O51" s="22"/>
      <c r="P51" s="22"/>
      <c r="Q51" s="22"/>
      <c r="R51" s="22"/>
      <c r="S51" s="22"/>
      <c r="T51" s="22"/>
    </row>
    <row r="52" spans="5:20" x14ac:dyDescent="0.25">
      <c r="E52" s="22"/>
      <c r="F52" s="22"/>
      <c r="G52" s="22"/>
      <c r="H52" s="22"/>
      <c r="I52" s="22"/>
      <c r="J52" s="35"/>
      <c r="K52" s="22"/>
      <c r="L52" s="35"/>
      <c r="M52" s="22"/>
      <c r="N52" s="22"/>
      <c r="O52" s="22"/>
      <c r="P52" s="22"/>
      <c r="Q52" s="22"/>
      <c r="R52" s="22"/>
      <c r="S52" s="22"/>
      <c r="T52" s="22"/>
    </row>
    <row r="53" spans="5:20" x14ac:dyDescent="0.25">
      <c r="E53" s="22"/>
      <c r="F53" s="22"/>
      <c r="G53" s="22"/>
      <c r="H53" s="22"/>
      <c r="I53" s="22"/>
      <c r="J53" s="35"/>
      <c r="K53" s="22"/>
      <c r="L53" s="35"/>
      <c r="M53" s="22"/>
      <c r="N53" s="22"/>
      <c r="O53" s="22"/>
      <c r="P53" s="22"/>
      <c r="Q53" s="22"/>
      <c r="R53" s="22"/>
      <c r="S53" s="22"/>
      <c r="T53" s="22"/>
    </row>
    <row r="54" spans="5:20" x14ac:dyDescent="0.25">
      <c r="E54" s="22"/>
      <c r="F54" s="22"/>
      <c r="G54" s="22"/>
      <c r="H54" s="22"/>
      <c r="I54" s="22"/>
      <c r="J54" s="35"/>
      <c r="K54" s="22"/>
      <c r="L54" s="35"/>
      <c r="M54" s="22"/>
      <c r="N54" s="22"/>
      <c r="O54" s="22"/>
      <c r="P54" s="22"/>
      <c r="Q54" s="22"/>
      <c r="R54" s="22"/>
      <c r="S54" s="22"/>
      <c r="T54" s="22"/>
    </row>
    <row r="55" spans="5:20" x14ac:dyDescent="0.25"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5:20" x14ac:dyDescent="0.25"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5:20" x14ac:dyDescent="0.25"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5:20" x14ac:dyDescent="0.25"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5:20" x14ac:dyDescent="0.25"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</sheetData>
  <sheetProtection password="F4FE" sheet="1" objects="1" scenarios="1" selectLockedCells="1"/>
  <mergeCells count="22">
    <mergeCell ref="A4:C4"/>
    <mergeCell ref="R14:W14"/>
    <mergeCell ref="R16:S16"/>
    <mergeCell ref="T15:U15"/>
    <mergeCell ref="T16:U16"/>
    <mergeCell ref="V15:W15"/>
    <mergeCell ref="V16:W16"/>
    <mergeCell ref="L2:M2"/>
    <mergeCell ref="L3:M3"/>
    <mergeCell ref="J3:K3"/>
    <mergeCell ref="J2:K2"/>
    <mergeCell ref="A3:C3"/>
    <mergeCell ref="AV17:BD17"/>
    <mergeCell ref="AV16:BD16"/>
    <mergeCell ref="AL17:AS17"/>
    <mergeCell ref="AL16:AS16"/>
    <mergeCell ref="AA16:AB16"/>
    <mergeCell ref="BP13:BU16"/>
    <mergeCell ref="BW13:BY16"/>
    <mergeCell ref="BV13:BV14"/>
    <mergeCell ref="BN15:BO15"/>
    <mergeCell ref="BN16:BO16"/>
  </mergeCells>
  <dataValidations count="2">
    <dataValidation type="list" allowBlank="1" showInputMessage="1" showErrorMessage="1" sqref="E2">
      <formula1>province</formula1>
    </dataValidation>
    <dataValidation type="list" allowBlank="1" showInputMessage="1" showErrorMessage="1" sqref="E11">
      <formula1>riflettanza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06"/>
  <sheetViews>
    <sheetView zoomScale="80" zoomScaleNormal="80" zoomScalePageLayoutView="80" workbookViewId="0">
      <selection activeCell="L30" sqref="L30"/>
    </sheetView>
  </sheetViews>
  <sheetFormatPr defaultColWidth="8.85546875" defaultRowHeight="15" x14ac:dyDescent="0.25"/>
  <cols>
    <col min="1" max="1" width="7.140625" style="1" customWidth="1"/>
    <col min="2" max="2" width="18.85546875" style="1" customWidth="1"/>
    <col min="3" max="3" width="6.42578125" style="1" customWidth="1"/>
    <col min="4" max="4" width="6.28515625" style="27" customWidth="1"/>
    <col min="5" max="5" width="8.85546875" style="1"/>
    <col min="6" max="6" width="11" style="1" customWidth="1"/>
    <col min="7" max="7" width="14.42578125" style="20" customWidth="1"/>
    <col min="8" max="8" width="8.85546875" style="20"/>
    <col min="9" max="9" width="13.85546875" style="20" customWidth="1"/>
    <col min="10" max="10" width="10.7109375" style="1" customWidth="1"/>
    <col min="11" max="11" width="13" style="1" customWidth="1"/>
    <col min="12" max="12" width="11.42578125" style="1" customWidth="1"/>
    <col min="13" max="13" width="10" style="1" customWidth="1"/>
    <col min="14" max="14" width="13.42578125" style="1" customWidth="1"/>
    <col min="15" max="15" width="12.7109375" style="1" customWidth="1"/>
    <col min="16" max="16" width="10.42578125" style="1" customWidth="1"/>
    <col min="17" max="17" width="7.85546875" style="1" customWidth="1"/>
    <col min="18" max="18" width="11.140625" style="1" customWidth="1"/>
    <col min="19" max="19" width="7.7109375" style="1" customWidth="1"/>
    <col min="20" max="20" width="11.7109375" style="1" customWidth="1"/>
    <col min="21" max="21" width="11.28515625" style="1" customWidth="1"/>
    <col min="22" max="22" width="13.42578125" style="1" customWidth="1"/>
    <col min="23" max="23" width="12.7109375" style="1" customWidth="1"/>
    <col min="24" max="24" width="12.140625" style="1" customWidth="1"/>
    <col min="25" max="25" width="10.7109375" style="1" customWidth="1"/>
    <col min="26" max="26" width="11" style="1" customWidth="1"/>
    <col min="27" max="27" width="12.85546875" style="1" customWidth="1"/>
    <col min="28" max="28" width="15.42578125" style="1" customWidth="1"/>
    <col min="29" max="29" width="12.140625" style="1" customWidth="1"/>
    <col min="30" max="30" width="10.85546875" style="1" customWidth="1"/>
    <col min="31" max="31" width="16.140625" style="1" customWidth="1"/>
    <col min="32" max="32" width="12" style="1" customWidth="1"/>
    <col min="33" max="33" width="10" style="1" customWidth="1"/>
    <col min="34" max="34" width="12.42578125" style="1" customWidth="1"/>
    <col min="35" max="35" width="11.28515625" style="1" customWidth="1"/>
    <col min="36" max="36" width="12.7109375" style="1" customWidth="1"/>
    <col min="37" max="37" width="13" style="1" customWidth="1"/>
    <col min="38" max="38" width="9.85546875" style="1" customWidth="1"/>
    <col min="39" max="40" width="11.42578125" style="1" customWidth="1"/>
    <col min="41" max="41" width="11.7109375" style="1" customWidth="1"/>
    <col min="42" max="42" width="9.7109375" style="1" customWidth="1"/>
    <col min="43" max="43" width="12.85546875" style="1" customWidth="1"/>
    <col min="44" max="44" width="10.7109375" style="1" customWidth="1"/>
    <col min="46" max="46" width="12.140625" customWidth="1"/>
    <col min="47" max="47" width="11.85546875" customWidth="1"/>
    <col min="68" max="68" width="11.28515625" customWidth="1"/>
    <col min="69" max="69" width="10.28515625" customWidth="1"/>
    <col min="70" max="70" width="11" customWidth="1"/>
    <col min="73" max="73" width="12.7109375" customWidth="1"/>
    <col min="80" max="80" width="10.28515625" customWidth="1"/>
    <col min="81" max="82" width="19.7109375" customWidth="1"/>
    <col min="91" max="91" width="11" customWidth="1"/>
    <col min="105" max="105" width="10.42578125" customWidth="1"/>
    <col min="112" max="112" width="60.42578125" style="1" customWidth="1"/>
    <col min="113" max="113" width="9.7109375" customWidth="1"/>
    <col min="114" max="114" width="10.42578125" customWidth="1"/>
    <col min="115" max="115" width="11.7109375" customWidth="1"/>
    <col min="116" max="116" width="15" customWidth="1"/>
    <col min="117" max="117" width="8.85546875" style="1"/>
  </cols>
  <sheetData>
    <row r="1" spans="1:138" x14ac:dyDescent="0.25">
      <c r="A1" s="169" t="s">
        <v>130</v>
      </c>
      <c r="B1" s="169" t="s">
        <v>46</v>
      </c>
      <c r="C1" s="170" t="s">
        <v>47</v>
      </c>
      <c r="D1" s="170"/>
      <c r="E1" s="170"/>
      <c r="F1" s="33"/>
      <c r="G1" s="3"/>
      <c r="H1" s="3"/>
      <c r="I1" s="3"/>
      <c r="J1" s="42" t="s">
        <v>48</v>
      </c>
      <c r="K1" s="42" t="s">
        <v>49</v>
      </c>
      <c r="L1" s="50" t="s">
        <v>44</v>
      </c>
      <c r="M1" s="50" t="s">
        <v>50</v>
      </c>
      <c r="N1" s="138" t="s">
        <v>181</v>
      </c>
      <c r="O1" s="51" t="s">
        <v>134</v>
      </c>
      <c r="P1" s="51" t="s">
        <v>51</v>
      </c>
      <c r="Q1" s="51" t="s">
        <v>52</v>
      </c>
      <c r="R1" s="51" t="s">
        <v>53</v>
      </c>
      <c r="S1" s="51" t="s">
        <v>54</v>
      </c>
      <c r="T1" s="51" t="s">
        <v>55</v>
      </c>
      <c r="U1" s="51" t="s">
        <v>180</v>
      </c>
      <c r="V1" s="51" t="s">
        <v>56</v>
      </c>
      <c r="W1" s="52" t="s">
        <v>57</v>
      </c>
      <c r="X1" s="52" t="s">
        <v>58</v>
      </c>
      <c r="Y1" s="52" t="s">
        <v>59</v>
      </c>
      <c r="Z1" s="52" t="s">
        <v>60</v>
      </c>
      <c r="AA1" s="52" t="s">
        <v>61</v>
      </c>
      <c r="AB1" s="52" t="s">
        <v>62</v>
      </c>
      <c r="AC1" s="52" t="s">
        <v>63</v>
      </c>
      <c r="AD1" s="53" t="s">
        <v>64</v>
      </c>
      <c r="AE1" s="53" t="s">
        <v>190</v>
      </c>
      <c r="AF1" s="53" t="s">
        <v>65</v>
      </c>
      <c r="AG1" s="53" t="s">
        <v>66</v>
      </c>
      <c r="AH1" s="54" t="s">
        <v>67</v>
      </c>
      <c r="AI1" s="54" t="s">
        <v>68</v>
      </c>
      <c r="AJ1" s="54" t="s">
        <v>69</v>
      </c>
      <c r="AK1" s="55" t="s">
        <v>70</v>
      </c>
      <c r="AL1" s="55" t="s">
        <v>71</v>
      </c>
      <c r="AM1" s="55" t="s">
        <v>72</v>
      </c>
      <c r="AN1" s="55" t="s">
        <v>73</v>
      </c>
      <c r="AO1" s="55" t="s">
        <v>185</v>
      </c>
      <c r="AP1" s="55" t="s">
        <v>191</v>
      </c>
      <c r="AQ1" s="42" t="s">
        <v>42</v>
      </c>
      <c r="AR1" s="55" t="s">
        <v>74</v>
      </c>
      <c r="AS1" s="59" t="s">
        <v>75</v>
      </c>
      <c r="AT1" s="59" t="s">
        <v>76</v>
      </c>
      <c r="AU1" s="134" t="s">
        <v>192</v>
      </c>
      <c r="AV1" s="134" t="s">
        <v>193</v>
      </c>
      <c r="AW1" s="59" t="s">
        <v>77</v>
      </c>
      <c r="AX1" s="59" t="s">
        <v>78</v>
      </c>
      <c r="AY1" s="59" t="s">
        <v>79</v>
      </c>
      <c r="AZ1" s="59" t="s">
        <v>80</v>
      </c>
      <c r="BA1" s="59" t="s">
        <v>81</v>
      </c>
      <c r="BB1" s="59" t="s">
        <v>186</v>
      </c>
      <c r="BC1" s="59" t="s">
        <v>82</v>
      </c>
      <c r="BD1" s="59" t="s">
        <v>83</v>
      </c>
      <c r="BE1" s="59" t="s">
        <v>84</v>
      </c>
      <c r="BF1" s="59" t="s">
        <v>85</v>
      </c>
      <c r="BG1" s="59" t="s">
        <v>86</v>
      </c>
      <c r="BH1" s="59" t="s">
        <v>87</v>
      </c>
      <c r="BI1" s="59" t="s">
        <v>88</v>
      </c>
      <c r="BJ1" s="59" t="s">
        <v>89</v>
      </c>
      <c r="BK1" s="59" t="s">
        <v>187</v>
      </c>
      <c r="BL1" s="59" t="s">
        <v>90</v>
      </c>
      <c r="BM1" s="59" t="s">
        <v>91</v>
      </c>
      <c r="BN1" s="59" t="s">
        <v>92</v>
      </c>
      <c r="BO1" s="59" t="s">
        <v>93</v>
      </c>
      <c r="BP1" s="59" t="s">
        <v>94</v>
      </c>
      <c r="BQ1" s="59" t="s">
        <v>95</v>
      </c>
      <c r="BR1" s="59" t="s">
        <v>45</v>
      </c>
      <c r="BS1" s="59" t="s">
        <v>96</v>
      </c>
      <c r="BT1" s="59" t="s">
        <v>97</v>
      </c>
      <c r="BU1" s="59" t="s">
        <v>98</v>
      </c>
      <c r="BV1" s="59" t="s">
        <v>99</v>
      </c>
      <c r="BW1" s="59" t="s">
        <v>100</v>
      </c>
      <c r="BX1" s="59" t="s">
        <v>101</v>
      </c>
      <c r="BY1" s="59" t="s">
        <v>102</v>
      </c>
      <c r="BZ1" s="59" t="s">
        <v>103</v>
      </c>
      <c r="CA1" s="59" t="s">
        <v>104</v>
      </c>
      <c r="CB1" s="59" t="s">
        <v>105</v>
      </c>
      <c r="CC1" s="59" t="s">
        <v>106</v>
      </c>
      <c r="CD1" s="134" t="s">
        <v>194</v>
      </c>
      <c r="CE1" s="59" t="s">
        <v>183</v>
      </c>
      <c r="CF1" s="59" t="s">
        <v>107</v>
      </c>
      <c r="CG1" s="59" t="s">
        <v>43</v>
      </c>
      <c r="CH1" s="59" t="s">
        <v>184</v>
      </c>
      <c r="CI1" s="59" t="s">
        <v>182</v>
      </c>
      <c r="CJ1" s="59" t="s">
        <v>108</v>
      </c>
      <c r="CK1" s="59" t="s">
        <v>109</v>
      </c>
      <c r="CL1" s="59" t="s">
        <v>188</v>
      </c>
      <c r="CM1" s="59" t="s">
        <v>110</v>
      </c>
      <c r="CN1" s="59" t="s">
        <v>111</v>
      </c>
      <c r="CO1" s="59" t="s">
        <v>112</v>
      </c>
      <c r="CP1" s="59" t="s">
        <v>113</v>
      </c>
      <c r="CQ1" s="59" t="s">
        <v>114</v>
      </c>
      <c r="CR1" s="59" t="s">
        <v>115</v>
      </c>
      <c r="CS1" s="134" t="s">
        <v>116</v>
      </c>
      <c r="CT1" s="59" t="s">
        <v>189</v>
      </c>
      <c r="CU1" s="59" t="s">
        <v>117</v>
      </c>
      <c r="CV1" s="59" t="s">
        <v>118</v>
      </c>
      <c r="CW1" s="59" t="s">
        <v>119</v>
      </c>
      <c r="CX1" s="59" t="s">
        <v>120</v>
      </c>
      <c r="CY1" s="59" t="s">
        <v>121</v>
      </c>
      <c r="CZ1" s="59" t="s">
        <v>122</v>
      </c>
      <c r="DA1" s="59" t="s">
        <v>123</v>
      </c>
      <c r="DB1" s="59" t="s">
        <v>124</v>
      </c>
      <c r="DC1" s="59" t="s">
        <v>125</v>
      </c>
      <c r="DD1" s="59" t="s">
        <v>126</v>
      </c>
      <c r="DE1" s="59" t="s">
        <v>127</v>
      </c>
      <c r="DF1" s="59" t="s">
        <v>128</v>
      </c>
      <c r="DH1" s="45" t="s">
        <v>151</v>
      </c>
      <c r="DI1" s="44" t="s">
        <v>152</v>
      </c>
      <c r="DJ1" s="30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</row>
    <row r="2" spans="1:138" ht="18" x14ac:dyDescent="0.35">
      <c r="A2" s="169"/>
      <c r="B2" s="169"/>
      <c r="C2" s="170" t="s">
        <v>132</v>
      </c>
      <c r="D2" s="170"/>
      <c r="E2" s="52" t="s">
        <v>133</v>
      </c>
      <c r="F2" s="34"/>
      <c r="G2" s="169" t="s">
        <v>168</v>
      </c>
      <c r="H2" s="44" t="s">
        <v>146</v>
      </c>
      <c r="I2" s="42" t="s">
        <v>41</v>
      </c>
      <c r="J2" s="47">
        <v>3.4</v>
      </c>
      <c r="K2" s="47">
        <v>2.4</v>
      </c>
      <c r="L2" s="47">
        <v>2.5</v>
      </c>
      <c r="M2" s="47">
        <v>2.4</v>
      </c>
      <c r="N2" s="47">
        <v>2.8</v>
      </c>
      <c r="O2" s="47">
        <v>2.8</v>
      </c>
      <c r="P2" s="47">
        <v>2.6</v>
      </c>
      <c r="Q2" s="47">
        <v>2.5</v>
      </c>
      <c r="R2" s="47">
        <v>2.9</v>
      </c>
      <c r="S2" s="47">
        <v>3</v>
      </c>
      <c r="T2" s="47">
        <v>2.2999999999999998</v>
      </c>
      <c r="U2" s="47">
        <v>2.2999999999999998</v>
      </c>
      <c r="V2" s="47">
        <v>2.9</v>
      </c>
      <c r="W2" s="47">
        <v>2.5</v>
      </c>
      <c r="X2" s="47">
        <v>3</v>
      </c>
      <c r="Y2" s="47">
        <v>2.4</v>
      </c>
      <c r="Z2" s="47">
        <v>2.2999999999999998</v>
      </c>
      <c r="AA2" s="47">
        <v>3.2</v>
      </c>
      <c r="AB2" s="47">
        <v>2.9</v>
      </c>
      <c r="AC2" s="47">
        <v>2.9</v>
      </c>
      <c r="AD2" s="47">
        <v>2.8</v>
      </c>
      <c r="AE2" s="47">
        <v>3.3</v>
      </c>
      <c r="AF2" s="47">
        <v>2.5</v>
      </c>
      <c r="AG2" s="47">
        <v>2.4</v>
      </c>
      <c r="AH2" s="47">
        <v>2.2999999999999998</v>
      </c>
      <c r="AI2" s="47">
        <v>3.2</v>
      </c>
      <c r="AJ2" s="47">
        <v>3.3</v>
      </c>
      <c r="AK2" s="47">
        <v>3.2</v>
      </c>
      <c r="AL2" s="47">
        <v>3.3</v>
      </c>
      <c r="AM2" s="47">
        <v>2.5</v>
      </c>
      <c r="AN2" s="47">
        <v>2.9</v>
      </c>
      <c r="AO2" s="47">
        <v>2.6</v>
      </c>
      <c r="AP2" s="47">
        <v>2.5</v>
      </c>
      <c r="AQ2" s="49">
        <v>2.9</v>
      </c>
      <c r="AR2" s="47">
        <v>2.5</v>
      </c>
      <c r="AS2" s="56">
        <v>2.4</v>
      </c>
      <c r="AT2" s="56">
        <v>2.8</v>
      </c>
      <c r="AU2" s="56">
        <v>2.6</v>
      </c>
      <c r="AV2" s="56">
        <v>2.9</v>
      </c>
      <c r="AW2" s="56">
        <v>3.2</v>
      </c>
      <c r="AX2" s="56">
        <v>2.4</v>
      </c>
      <c r="AY2" s="56">
        <v>2.2999999999999998</v>
      </c>
      <c r="AZ2" s="56">
        <v>3</v>
      </c>
      <c r="BA2" s="56">
        <v>2.6</v>
      </c>
      <c r="BB2" s="56">
        <v>2.9</v>
      </c>
      <c r="BC2" s="56">
        <v>2.6</v>
      </c>
      <c r="BD2" s="56">
        <v>2.7</v>
      </c>
      <c r="BE2" s="56">
        <v>3.3</v>
      </c>
      <c r="BF2" s="56">
        <v>2.2999999999999998</v>
      </c>
      <c r="BG2" s="56">
        <v>2.2999999999999998</v>
      </c>
      <c r="BH2" s="56">
        <v>2.5</v>
      </c>
      <c r="BI2" s="56">
        <v>2.6</v>
      </c>
      <c r="BJ2" s="56">
        <v>3</v>
      </c>
      <c r="BK2" s="56">
        <v>3</v>
      </c>
      <c r="BL2" s="56">
        <v>2.2999999999999998</v>
      </c>
      <c r="BM2" s="56">
        <v>3.1</v>
      </c>
      <c r="BN2" s="56">
        <v>3.1</v>
      </c>
      <c r="BO2" s="56">
        <v>3.3</v>
      </c>
      <c r="BP2" s="56">
        <v>2.4</v>
      </c>
      <c r="BQ2" s="56">
        <v>2.2999999999999998</v>
      </c>
      <c r="BR2" s="56">
        <v>2.8</v>
      </c>
      <c r="BS2" s="56">
        <v>2.7</v>
      </c>
      <c r="BT2" s="56">
        <v>2.6</v>
      </c>
      <c r="BU2" s="56">
        <v>2.2999999999999998</v>
      </c>
      <c r="BV2" s="56">
        <v>2.6</v>
      </c>
      <c r="BW2" s="56">
        <v>2.4</v>
      </c>
      <c r="BX2" s="56">
        <v>2.4</v>
      </c>
      <c r="BY2" s="56">
        <v>2.6</v>
      </c>
      <c r="BZ2" s="56">
        <v>2.2999999999999998</v>
      </c>
      <c r="CA2" s="56">
        <v>3</v>
      </c>
      <c r="CB2" s="56">
        <v>2.5</v>
      </c>
      <c r="CC2" s="56">
        <v>3.3</v>
      </c>
      <c r="CD2" s="56">
        <v>2.5</v>
      </c>
      <c r="CE2" s="56">
        <v>3.4</v>
      </c>
      <c r="CF2" s="56">
        <v>2.8</v>
      </c>
      <c r="CG2" s="56">
        <v>2.9</v>
      </c>
      <c r="CH2" s="56">
        <v>2.5</v>
      </c>
      <c r="CI2" s="56">
        <v>2.2999999999999998</v>
      </c>
      <c r="CJ2" s="56">
        <v>3</v>
      </c>
      <c r="CK2" s="56">
        <v>2.7</v>
      </c>
      <c r="CL2" s="56">
        <v>2.2999999999999998</v>
      </c>
      <c r="CM2" s="56">
        <v>2.6</v>
      </c>
      <c r="CN2" s="56">
        <v>3.4</v>
      </c>
      <c r="CO2" s="56">
        <v>3</v>
      </c>
      <c r="CP2" s="56">
        <v>2.6</v>
      </c>
      <c r="CQ2" s="56">
        <v>3</v>
      </c>
      <c r="CR2" s="56">
        <v>2.8</v>
      </c>
      <c r="CS2" s="56">
        <v>2.2999999999999998</v>
      </c>
      <c r="CT2" s="56">
        <v>2.5</v>
      </c>
      <c r="CU2" s="56">
        <v>3.3</v>
      </c>
      <c r="CV2" s="56">
        <v>2.8</v>
      </c>
      <c r="CW2" s="56">
        <v>2.4</v>
      </c>
      <c r="CX2" s="56">
        <v>2.2999999999999998</v>
      </c>
      <c r="CY2" s="56">
        <v>2.2999999999999998</v>
      </c>
      <c r="CZ2" s="56">
        <v>2.4</v>
      </c>
      <c r="DA2" s="56">
        <v>2.4</v>
      </c>
      <c r="DB2" s="56">
        <v>2.4</v>
      </c>
      <c r="DC2" s="56">
        <v>2.4</v>
      </c>
      <c r="DD2" s="56">
        <v>2.2999999999999998</v>
      </c>
      <c r="DE2" s="56">
        <v>2.2999999999999998</v>
      </c>
      <c r="DF2" s="47">
        <v>2.8</v>
      </c>
      <c r="DH2" s="23" t="s">
        <v>153</v>
      </c>
      <c r="DI2" s="24">
        <v>0.75</v>
      </c>
      <c r="DJ2" s="30"/>
      <c r="DL2" s="30"/>
      <c r="DM2" s="33"/>
      <c r="DN2" s="22"/>
    </row>
    <row r="3" spans="1:138" ht="18" x14ac:dyDescent="0.35">
      <c r="A3" s="169"/>
      <c r="B3" s="169"/>
      <c r="C3" s="52" t="s">
        <v>30</v>
      </c>
      <c r="D3" s="43" t="s">
        <v>131</v>
      </c>
      <c r="E3" s="52" t="s">
        <v>30</v>
      </c>
      <c r="F3" s="33"/>
      <c r="G3" s="169"/>
      <c r="H3" s="44" t="s">
        <v>145</v>
      </c>
      <c r="I3" s="42" t="s">
        <v>41</v>
      </c>
      <c r="J3" s="48">
        <v>5.4</v>
      </c>
      <c r="K3" s="48">
        <v>2.2999999999999998</v>
      </c>
      <c r="L3" s="48">
        <v>1.8</v>
      </c>
      <c r="M3" s="48">
        <v>2.9</v>
      </c>
      <c r="N3" s="48">
        <v>2.6</v>
      </c>
      <c r="O3" s="48">
        <v>3.2</v>
      </c>
      <c r="P3" s="48">
        <v>2.5</v>
      </c>
      <c r="Q3" s="48">
        <v>2.7</v>
      </c>
      <c r="R3" s="48">
        <v>2.5</v>
      </c>
      <c r="S3" s="48">
        <v>3.6</v>
      </c>
      <c r="T3" s="48">
        <v>1.9</v>
      </c>
      <c r="U3" s="48">
        <v>2</v>
      </c>
      <c r="V3" s="48">
        <v>2.8</v>
      </c>
      <c r="W3" s="48">
        <v>2</v>
      </c>
      <c r="X3" s="48">
        <v>4</v>
      </c>
      <c r="Y3" s="48">
        <v>2.2000000000000002</v>
      </c>
      <c r="Z3" s="48">
        <v>2.2000000000000002</v>
      </c>
      <c r="AA3" s="48">
        <v>4.0999999999999996</v>
      </c>
      <c r="AB3" s="48">
        <v>3.3</v>
      </c>
      <c r="AC3" s="48">
        <v>3.9</v>
      </c>
      <c r="AD3" s="48">
        <v>3.1</v>
      </c>
      <c r="AE3" s="48">
        <v>5.7</v>
      </c>
      <c r="AF3" s="48">
        <v>3</v>
      </c>
      <c r="AG3" s="48">
        <v>2.2000000000000002</v>
      </c>
      <c r="AH3" s="48">
        <v>1.6</v>
      </c>
      <c r="AI3" s="48">
        <v>4.5</v>
      </c>
      <c r="AJ3" s="48">
        <v>5.7</v>
      </c>
      <c r="AK3" s="48">
        <v>4.0999999999999996</v>
      </c>
      <c r="AL3" s="48">
        <v>5.6</v>
      </c>
      <c r="AM3" s="48">
        <v>2.1</v>
      </c>
      <c r="AN3" s="48">
        <v>3.5</v>
      </c>
      <c r="AO3" s="48">
        <v>2.7</v>
      </c>
      <c r="AP3" s="48">
        <v>2.2999999999999998</v>
      </c>
      <c r="AQ3" s="49">
        <v>3.6</v>
      </c>
      <c r="AR3" s="48">
        <v>2.8</v>
      </c>
      <c r="AS3" s="56">
        <v>2.2000000000000002</v>
      </c>
      <c r="AT3" s="56">
        <v>3.2</v>
      </c>
      <c r="AU3" s="56">
        <v>3.4</v>
      </c>
      <c r="AV3" s="56">
        <v>3.1</v>
      </c>
      <c r="AW3" s="56">
        <v>4.2</v>
      </c>
      <c r="AX3" s="56">
        <v>2.2999999999999998</v>
      </c>
      <c r="AY3" s="56">
        <v>1.4</v>
      </c>
      <c r="AZ3" s="56">
        <v>3.8</v>
      </c>
      <c r="BA3" s="56">
        <v>2.8</v>
      </c>
      <c r="BB3" s="56">
        <v>3.8</v>
      </c>
      <c r="BC3" s="56">
        <v>2.7</v>
      </c>
      <c r="BD3" s="56">
        <v>2.8</v>
      </c>
      <c r="BE3" s="56">
        <v>3.9</v>
      </c>
      <c r="BF3" s="56">
        <v>1.5</v>
      </c>
      <c r="BG3" s="56">
        <v>1.5</v>
      </c>
      <c r="BH3" s="56">
        <v>1.9</v>
      </c>
      <c r="BI3" s="56">
        <v>2.7</v>
      </c>
      <c r="BJ3" s="56">
        <v>3.3</v>
      </c>
      <c r="BK3" s="56">
        <v>3.7</v>
      </c>
      <c r="BL3" s="56">
        <v>1.7</v>
      </c>
      <c r="BM3" s="56">
        <v>3.8</v>
      </c>
      <c r="BN3" s="56">
        <v>3.9</v>
      </c>
      <c r="BO3" s="56">
        <v>4.4000000000000004</v>
      </c>
      <c r="BP3" s="56">
        <v>2</v>
      </c>
      <c r="BQ3" s="56">
        <v>1.8</v>
      </c>
      <c r="BR3" s="56">
        <v>2.9</v>
      </c>
      <c r="BS3" s="56">
        <v>2.8</v>
      </c>
      <c r="BT3" s="56">
        <v>2.7</v>
      </c>
      <c r="BU3" s="56">
        <v>2.2000000000000002</v>
      </c>
      <c r="BV3" s="56">
        <v>2.5</v>
      </c>
      <c r="BW3" s="56">
        <v>1.9</v>
      </c>
      <c r="BX3" s="56">
        <v>1.6</v>
      </c>
      <c r="BY3" s="56">
        <v>2.4</v>
      </c>
      <c r="BZ3" s="56">
        <v>1.4</v>
      </c>
      <c r="CA3" s="56">
        <v>3</v>
      </c>
      <c r="CB3" s="56">
        <v>1.9</v>
      </c>
      <c r="CC3" s="56">
        <v>4.2</v>
      </c>
      <c r="CD3" s="56">
        <v>1.9</v>
      </c>
      <c r="CE3" s="56">
        <v>5.6</v>
      </c>
      <c r="CF3" s="56">
        <v>3.2</v>
      </c>
      <c r="CG3" s="56">
        <v>3.4</v>
      </c>
      <c r="CH3" s="56">
        <v>2.1</v>
      </c>
      <c r="CI3" s="56">
        <v>1.6</v>
      </c>
      <c r="CJ3" s="56">
        <v>3</v>
      </c>
      <c r="CK3" s="56">
        <v>2.7</v>
      </c>
      <c r="CL3" s="56">
        <v>3.2</v>
      </c>
      <c r="CM3" s="56">
        <v>2.7</v>
      </c>
      <c r="CN3" s="56">
        <v>5.5</v>
      </c>
      <c r="CO3" s="56">
        <v>3.8</v>
      </c>
      <c r="CP3" s="56">
        <v>2.9</v>
      </c>
      <c r="CQ3" s="56">
        <v>3.8</v>
      </c>
      <c r="CR3" s="56">
        <v>2.8</v>
      </c>
      <c r="CS3" s="56">
        <v>2.6</v>
      </c>
      <c r="CT3" s="56">
        <v>2.5</v>
      </c>
      <c r="CU3" s="56">
        <v>5.2</v>
      </c>
      <c r="CV3" s="56">
        <v>2.9</v>
      </c>
      <c r="CW3" s="56">
        <v>1.9</v>
      </c>
      <c r="CX3" s="56">
        <v>2.2000000000000002</v>
      </c>
      <c r="CY3" s="56">
        <v>2.1</v>
      </c>
      <c r="CZ3" s="56">
        <v>2.6</v>
      </c>
      <c r="DA3" s="56">
        <v>2.8</v>
      </c>
      <c r="DB3" s="56">
        <v>1.8</v>
      </c>
      <c r="DC3" s="56">
        <v>2.1</v>
      </c>
      <c r="DD3" s="56">
        <v>2.2999999999999998</v>
      </c>
      <c r="DE3" s="56">
        <v>1.8</v>
      </c>
      <c r="DF3" s="48">
        <v>3.1</v>
      </c>
      <c r="DH3" s="23" t="s">
        <v>154</v>
      </c>
      <c r="DI3" s="24">
        <v>7.0000000000000007E-2</v>
      </c>
      <c r="DJ3" s="30"/>
      <c r="DL3" s="30"/>
      <c r="DM3" s="33"/>
      <c r="DN3" s="22"/>
    </row>
    <row r="4" spans="1:138" ht="18" x14ac:dyDescent="0.35">
      <c r="A4" s="24">
        <v>1</v>
      </c>
      <c r="B4" s="24" t="s">
        <v>48</v>
      </c>
      <c r="C4" s="24">
        <v>37</v>
      </c>
      <c r="D4" s="28">
        <v>18</v>
      </c>
      <c r="E4" s="29">
        <f>C4+D4*10^-2*(100/60)</f>
        <v>37.299999999999997</v>
      </c>
      <c r="F4" s="46"/>
      <c r="G4" s="169" t="s">
        <v>169</v>
      </c>
      <c r="H4" s="44" t="s">
        <v>146</v>
      </c>
      <c r="I4" s="42" t="s">
        <v>41</v>
      </c>
      <c r="J4" s="49">
        <v>4.2</v>
      </c>
      <c r="K4" s="49">
        <v>3.5</v>
      </c>
      <c r="L4" s="49">
        <v>3.7</v>
      </c>
      <c r="M4" s="49">
        <v>3.4</v>
      </c>
      <c r="N4" s="49">
        <v>3.8</v>
      </c>
      <c r="O4" s="49">
        <v>3.8</v>
      </c>
      <c r="P4" s="49">
        <v>3.7</v>
      </c>
      <c r="Q4" s="49">
        <v>3.5</v>
      </c>
      <c r="R4" s="49">
        <v>4</v>
      </c>
      <c r="S4" s="49">
        <v>3.9</v>
      </c>
      <c r="T4" s="49">
        <v>3.4</v>
      </c>
      <c r="U4" s="49">
        <v>3.4</v>
      </c>
      <c r="V4" s="49">
        <v>4</v>
      </c>
      <c r="W4" s="49">
        <v>3.6</v>
      </c>
      <c r="X4" s="49">
        <v>4</v>
      </c>
      <c r="Y4" s="49">
        <v>3.5</v>
      </c>
      <c r="Z4" s="49">
        <v>3.3</v>
      </c>
      <c r="AA4" s="49">
        <v>4.2</v>
      </c>
      <c r="AB4" s="49">
        <v>3.9</v>
      </c>
      <c r="AC4" s="49">
        <v>3.9</v>
      </c>
      <c r="AD4" s="49">
        <v>3.9</v>
      </c>
      <c r="AE4" s="49">
        <v>4.2</v>
      </c>
      <c r="AF4" s="49">
        <v>3.6</v>
      </c>
      <c r="AG4" s="49">
        <v>3.4</v>
      </c>
      <c r="AH4" s="49">
        <v>3.5</v>
      </c>
      <c r="AI4" s="49">
        <v>3.9</v>
      </c>
      <c r="AJ4" s="49">
        <v>4.2</v>
      </c>
      <c r="AK4" s="49">
        <v>4.0999999999999996</v>
      </c>
      <c r="AL4" s="49">
        <v>4.2</v>
      </c>
      <c r="AM4" s="49">
        <v>3.6</v>
      </c>
      <c r="AN4" s="49">
        <v>3.9</v>
      </c>
      <c r="AO4" s="49">
        <v>3.7</v>
      </c>
      <c r="AP4" s="49">
        <v>3.6</v>
      </c>
      <c r="AQ4" s="49">
        <v>3.9</v>
      </c>
      <c r="AR4" s="49">
        <v>3.6</v>
      </c>
      <c r="AS4" s="56">
        <v>3.4</v>
      </c>
      <c r="AT4" s="56">
        <v>3.8</v>
      </c>
      <c r="AU4" s="56">
        <v>3.6</v>
      </c>
      <c r="AV4" s="56">
        <v>3.9</v>
      </c>
      <c r="AW4" s="56">
        <v>4.2</v>
      </c>
      <c r="AX4" s="56">
        <v>3.4</v>
      </c>
      <c r="AY4" s="56">
        <v>3.5</v>
      </c>
      <c r="AZ4" s="56">
        <v>4</v>
      </c>
      <c r="BA4" s="56">
        <v>3.7</v>
      </c>
      <c r="BB4" s="56">
        <v>3.9</v>
      </c>
      <c r="BC4" s="56">
        <v>3.7</v>
      </c>
      <c r="BD4" s="56">
        <v>3.7</v>
      </c>
      <c r="BE4" s="56">
        <v>4.3</v>
      </c>
      <c r="BF4" s="56">
        <v>3.5</v>
      </c>
      <c r="BG4" s="56">
        <v>3.5</v>
      </c>
      <c r="BH4" s="56">
        <v>3.6</v>
      </c>
      <c r="BI4" s="56">
        <v>3.6</v>
      </c>
      <c r="BJ4" s="56">
        <v>4</v>
      </c>
      <c r="BK4" s="56">
        <v>4</v>
      </c>
      <c r="BL4" s="56">
        <v>3.5</v>
      </c>
      <c r="BM4" s="56">
        <v>4.0999999999999996</v>
      </c>
      <c r="BN4" s="56">
        <v>4.0999999999999996</v>
      </c>
      <c r="BO4" s="56">
        <v>4.3</v>
      </c>
      <c r="BP4" s="56">
        <v>3.5</v>
      </c>
      <c r="BQ4" s="56">
        <v>3.5</v>
      </c>
      <c r="BR4" s="56">
        <v>3.9</v>
      </c>
      <c r="BS4" s="56">
        <v>3.8</v>
      </c>
      <c r="BT4" s="56">
        <v>3.7</v>
      </c>
      <c r="BU4" s="56">
        <v>3.4</v>
      </c>
      <c r="BV4" s="56">
        <v>3.7</v>
      </c>
      <c r="BW4" s="56">
        <v>3.6</v>
      </c>
      <c r="BX4" s="56">
        <v>3.6</v>
      </c>
      <c r="BY4" s="56">
        <v>3.7</v>
      </c>
      <c r="BZ4" s="56">
        <v>3.5</v>
      </c>
      <c r="CA4" s="56">
        <v>4.0999999999999996</v>
      </c>
      <c r="CB4" s="56">
        <v>3.6</v>
      </c>
      <c r="CC4" s="56">
        <v>4.2</v>
      </c>
      <c r="CD4" s="56">
        <v>3.6</v>
      </c>
      <c r="CE4" s="56">
        <v>4.4000000000000004</v>
      </c>
      <c r="CF4" s="56">
        <v>3.8</v>
      </c>
      <c r="CG4" s="56">
        <v>3.9</v>
      </c>
      <c r="CH4" s="56">
        <v>3.6</v>
      </c>
      <c r="CI4" s="56">
        <v>3.5</v>
      </c>
      <c r="CJ4" s="56">
        <v>4</v>
      </c>
      <c r="CK4" s="56">
        <v>3.7</v>
      </c>
      <c r="CL4" s="56">
        <v>3.2</v>
      </c>
      <c r="CM4" s="56">
        <v>3.6</v>
      </c>
      <c r="CN4" s="56">
        <v>4.3</v>
      </c>
      <c r="CO4" s="56">
        <v>4</v>
      </c>
      <c r="CP4" s="56">
        <v>3.6</v>
      </c>
      <c r="CQ4" s="56">
        <v>4</v>
      </c>
      <c r="CR4" s="56">
        <v>3.8</v>
      </c>
      <c r="CS4" s="56">
        <v>3.4</v>
      </c>
      <c r="CT4" s="56">
        <v>3.5</v>
      </c>
      <c r="CU4" s="56">
        <v>4.2</v>
      </c>
      <c r="CV4" s="56">
        <v>3.8</v>
      </c>
      <c r="CW4" s="56">
        <v>3.5</v>
      </c>
      <c r="CX4" s="56">
        <v>3.4</v>
      </c>
      <c r="CY4" s="56">
        <v>3.4</v>
      </c>
      <c r="CZ4" s="56">
        <v>3.4</v>
      </c>
      <c r="DA4" s="56">
        <v>3.4</v>
      </c>
      <c r="DB4" s="56">
        <v>3.5</v>
      </c>
      <c r="DC4" s="56">
        <v>3.5</v>
      </c>
      <c r="DD4" s="56">
        <v>3.4</v>
      </c>
      <c r="DE4" s="56">
        <v>3.5</v>
      </c>
      <c r="DF4" s="49">
        <v>3.8</v>
      </c>
      <c r="DH4" s="23" t="s">
        <v>155</v>
      </c>
      <c r="DI4" s="24">
        <v>0.14000000000000001</v>
      </c>
      <c r="DJ4" s="30"/>
      <c r="DL4" s="30"/>
      <c r="DM4" s="33"/>
      <c r="DN4" s="22"/>
    </row>
    <row r="5" spans="1:138" ht="18" x14ac:dyDescent="0.35">
      <c r="A5" s="24">
        <v>2</v>
      </c>
      <c r="B5" s="24" t="s">
        <v>49</v>
      </c>
      <c r="C5" s="24">
        <v>44</v>
      </c>
      <c r="D5" s="28">
        <v>54</v>
      </c>
      <c r="E5" s="29">
        <f t="shared" ref="E5:E68" si="0">C5+D5*10^-2*(100/60)</f>
        <v>44.9</v>
      </c>
      <c r="F5" s="46"/>
      <c r="G5" s="169"/>
      <c r="H5" s="44" t="s">
        <v>145</v>
      </c>
      <c r="I5" s="42" t="s">
        <v>41</v>
      </c>
      <c r="J5" s="49">
        <v>8.3000000000000007</v>
      </c>
      <c r="K5" s="49">
        <v>4</v>
      </c>
      <c r="L5" s="49">
        <v>3.9</v>
      </c>
      <c r="M5" s="49">
        <v>4.5999999999999996</v>
      </c>
      <c r="N5" s="49">
        <v>4.4000000000000004</v>
      </c>
      <c r="O5" s="49">
        <v>4.5999999999999996</v>
      </c>
      <c r="P5" s="49">
        <v>3.9</v>
      </c>
      <c r="Q5" s="49">
        <v>4.4000000000000004</v>
      </c>
      <c r="R5" s="49">
        <v>4.4000000000000004</v>
      </c>
      <c r="S5" s="49">
        <v>6.2</v>
      </c>
      <c r="T5" s="49">
        <v>3.5</v>
      </c>
      <c r="U5" s="49">
        <v>4.0999999999999996</v>
      </c>
      <c r="V5" s="49">
        <v>4.7</v>
      </c>
      <c r="W5" s="49">
        <v>4.3</v>
      </c>
      <c r="X5" s="49">
        <v>5.3</v>
      </c>
      <c r="Y5" s="49">
        <v>4.3</v>
      </c>
      <c r="Z5" s="49">
        <v>4.9000000000000004</v>
      </c>
      <c r="AA5" s="49">
        <v>5.6</v>
      </c>
      <c r="AB5" s="49">
        <v>5.6</v>
      </c>
      <c r="AC5" s="49">
        <v>5.8</v>
      </c>
      <c r="AD5" s="49">
        <v>4.9000000000000004</v>
      </c>
      <c r="AE5" s="49">
        <v>7.7</v>
      </c>
      <c r="AF5" s="49">
        <v>4.5</v>
      </c>
      <c r="AG5" s="49">
        <v>3.4</v>
      </c>
      <c r="AH5" s="49">
        <v>3.3</v>
      </c>
      <c r="AI5" s="49">
        <v>7.9</v>
      </c>
      <c r="AJ5" s="49">
        <v>7.7</v>
      </c>
      <c r="AK5" s="49">
        <v>7.1</v>
      </c>
      <c r="AL5" s="49">
        <v>7.7</v>
      </c>
      <c r="AM5" s="49">
        <v>4.0999999999999996</v>
      </c>
      <c r="AN5" s="49">
        <v>5.8</v>
      </c>
      <c r="AO5" s="49">
        <v>4.5</v>
      </c>
      <c r="AP5" s="49">
        <v>4.3</v>
      </c>
      <c r="AQ5" s="49">
        <v>5.3</v>
      </c>
      <c r="AR5" s="49">
        <v>4.5999999999999996</v>
      </c>
      <c r="AS5" s="56">
        <v>3.7</v>
      </c>
      <c r="AT5" s="56">
        <v>4.9000000000000004</v>
      </c>
      <c r="AU5" s="56">
        <v>5.4</v>
      </c>
      <c r="AV5" s="56">
        <v>4.8</v>
      </c>
      <c r="AW5" s="56">
        <v>6.5</v>
      </c>
      <c r="AX5" s="56">
        <v>3.6</v>
      </c>
      <c r="AY5" s="56">
        <v>3.1</v>
      </c>
      <c r="AZ5" s="56">
        <v>5.8</v>
      </c>
      <c r="BA5" s="56">
        <v>4.5999999999999996</v>
      </c>
      <c r="BB5" s="56">
        <v>5.7</v>
      </c>
      <c r="BC5" s="56">
        <v>4.2</v>
      </c>
      <c r="BD5" s="56">
        <v>4.7</v>
      </c>
      <c r="BE5" s="56">
        <v>6.5</v>
      </c>
      <c r="BF5" s="56">
        <v>3.2</v>
      </c>
      <c r="BG5" s="56">
        <v>3.1</v>
      </c>
      <c r="BH5" s="56">
        <v>3.4</v>
      </c>
      <c r="BI5" s="56">
        <v>4.7</v>
      </c>
      <c r="BJ5" s="56">
        <v>5.7</v>
      </c>
      <c r="BK5" s="56">
        <v>5.6</v>
      </c>
      <c r="BL5" s="56">
        <v>3.7</v>
      </c>
      <c r="BM5" s="56">
        <v>5.5</v>
      </c>
      <c r="BN5" s="56">
        <v>5.8</v>
      </c>
      <c r="BO5" s="56">
        <v>6.8</v>
      </c>
      <c r="BP5" s="56">
        <v>3.8</v>
      </c>
      <c r="BQ5" s="56">
        <v>3.6</v>
      </c>
      <c r="BR5" s="56">
        <v>4.7</v>
      </c>
      <c r="BS5" s="56">
        <v>4.0999999999999996</v>
      </c>
      <c r="BT5" s="56">
        <v>4.5999999999999996</v>
      </c>
      <c r="BU5" s="56">
        <v>4.0999999999999996</v>
      </c>
      <c r="BV5" s="56">
        <v>4.0999999999999996</v>
      </c>
      <c r="BW5" s="56">
        <v>4.0999999999999996</v>
      </c>
      <c r="BX5" s="56">
        <v>3.4</v>
      </c>
      <c r="BY5" s="56">
        <v>4</v>
      </c>
      <c r="BZ5" s="56">
        <v>3</v>
      </c>
      <c r="CA5" s="56">
        <v>4.8</v>
      </c>
      <c r="CB5" s="56">
        <v>3.5</v>
      </c>
      <c r="CC5" s="56">
        <v>7.2</v>
      </c>
      <c r="CD5" s="56">
        <v>3.6</v>
      </c>
      <c r="CE5" s="56">
        <v>7.5</v>
      </c>
      <c r="CF5" s="56">
        <v>4.5</v>
      </c>
      <c r="CG5" s="56">
        <v>5.3</v>
      </c>
      <c r="CH5" s="56">
        <v>4.2</v>
      </c>
      <c r="CI5" s="56">
        <v>3.9</v>
      </c>
      <c r="CJ5" s="56">
        <v>4.2</v>
      </c>
      <c r="CK5" s="56">
        <v>4.2</v>
      </c>
      <c r="CL5" s="56">
        <v>5.7</v>
      </c>
      <c r="CM5" s="56">
        <v>4.9000000000000004</v>
      </c>
      <c r="CN5" s="56">
        <v>7.8</v>
      </c>
      <c r="CO5" s="56">
        <v>5.8</v>
      </c>
      <c r="CP5" s="56">
        <v>4.7</v>
      </c>
      <c r="CQ5" s="56">
        <v>5.9</v>
      </c>
      <c r="CR5" s="56">
        <v>4.5999999999999996</v>
      </c>
      <c r="CS5" s="56">
        <v>5</v>
      </c>
      <c r="CT5" s="56">
        <v>4.3</v>
      </c>
      <c r="CU5" s="56">
        <v>7.2</v>
      </c>
      <c r="CV5" s="56">
        <v>4.3</v>
      </c>
      <c r="CW5" s="56">
        <v>3.7</v>
      </c>
      <c r="CX5" s="56">
        <v>4.5</v>
      </c>
      <c r="CY5" s="56">
        <v>3.6</v>
      </c>
      <c r="CZ5" s="58">
        <v>3.9</v>
      </c>
      <c r="DA5" s="56">
        <v>4</v>
      </c>
      <c r="DB5" s="56">
        <v>3.6</v>
      </c>
      <c r="DC5" s="56">
        <v>4.5999999999999996</v>
      </c>
      <c r="DD5" s="56">
        <v>4</v>
      </c>
      <c r="DE5" s="56">
        <v>3.6</v>
      </c>
      <c r="DF5" s="49">
        <v>4.7</v>
      </c>
      <c r="DH5" s="23" t="s">
        <v>156</v>
      </c>
      <c r="DI5" s="24">
        <v>0.04</v>
      </c>
      <c r="DJ5" s="30"/>
      <c r="DL5" s="30"/>
      <c r="DM5" s="33"/>
      <c r="DN5" s="22"/>
    </row>
    <row r="6" spans="1:138" ht="18" x14ac:dyDescent="0.35">
      <c r="A6" s="24">
        <v>3</v>
      </c>
      <c r="B6" s="24" t="s">
        <v>44</v>
      </c>
      <c r="C6" s="24">
        <v>43</v>
      </c>
      <c r="D6" s="28">
        <v>36</v>
      </c>
      <c r="E6" s="29">
        <f t="shared" si="0"/>
        <v>43.6</v>
      </c>
      <c r="F6" s="46"/>
      <c r="G6" s="169" t="s">
        <v>170</v>
      </c>
      <c r="H6" s="44" t="s">
        <v>146</v>
      </c>
      <c r="I6" s="42" t="s">
        <v>41</v>
      </c>
      <c r="J6" s="49">
        <v>5.3</v>
      </c>
      <c r="K6" s="49">
        <v>5.0999999999999996</v>
      </c>
      <c r="L6" s="49">
        <v>5.2</v>
      </c>
      <c r="M6" s="49">
        <v>4.9000000000000004</v>
      </c>
      <c r="N6" s="49">
        <v>5.3</v>
      </c>
      <c r="O6" s="49">
        <v>5.3</v>
      </c>
      <c r="P6" s="49">
        <v>5.2</v>
      </c>
      <c r="Q6" s="49">
        <v>5.0999999999999996</v>
      </c>
      <c r="R6" s="49">
        <v>5.5</v>
      </c>
      <c r="S6" s="49">
        <v>5.3</v>
      </c>
      <c r="T6" s="49">
        <v>5</v>
      </c>
      <c r="U6" s="49">
        <v>4.9000000000000004</v>
      </c>
      <c r="V6" s="49">
        <v>5.5</v>
      </c>
      <c r="W6" s="49">
        <v>5.0999999999999996</v>
      </c>
      <c r="X6" s="49">
        <v>5.4</v>
      </c>
      <c r="Y6" s="49">
        <v>5</v>
      </c>
      <c r="Z6" s="49">
        <v>4.9000000000000004</v>
      </c>
      <c r="AA6" s="49">
        <v>5.5</v>
      </c>
      <c r="AB6" s="49">
        <v>5.4</v>
      </c>
      <c r="AC6" s="49">
        <v>5.3</v>
      </c>
      <c r="AD6" s="49">
        <v>5.3</v>
      </c>
      <c r="AE6" s="49">
        <v>5.5</v>
      </c>
      <c r="AF6" s="49">
        <v>5.2</v>
      </c>
      <c r="AG6" s="49">
        <v>5</v>
      </c>
      <c r="AH6" s="49">
        <v>5.0999999999999996</v>
      </c>
      <c r="AI6" s="49">
        <v>4.9000000000000004</v>
      </c>
      <c r="AJ6" s="49">
        <v>5.5</v>
      </c>
      <c r="AK6" s="49">
        <v>5.7</v>
      </c>
      <c r="AL6" s="49">
        <v>5.5</v>
      </c>
      <c r="AM6" s="49">
        <v>5.2</v>
      </c>
      <c r="AN6" s="49">
        <v>5.3</v>
      </c>
      <c r="AO6" s="49">
        <v>5.2</v>
      </c>
      <c r="AP6" s="49">
        <v>5.0999999999999996</v>
      </c>
      <c r="AQ6" s="49">
        <v>5.3</v>
      </c>
      <c r="AR6" s="49">
        <v>5.0999999999999996</v>
      </c>
      <c r="AS6" s="56">
        <v>5</v>
      </c>
      <c r="AT6" s="56">
        <v>5.3</v>
      </c>
      <c r="AU6" s="56">
        <v>5.0999999999999996</v>
      </c>
      <c r="AV6" s="56">
        <v>5.4</v>
      </c>
      <c r="AW6" s="56">
        <v>5.5</v>
      </c>
      <c r="AX6" s="56">
        <v>5</v>
      </c>
      <c r="AY6" s="56">
        <v>5.0999999999999996</v>
      </c>
      <c r="AZ6" s="56">
        <v>5.5</v>
      </c>
      <c r="BA6" s="56">
        <v>5.2</v>
      </c>
      <c r="BB6" s="56">
        <v>5.2</v>
      </c>
      <c r="BC6" s="56">
        <v>5.2</v>
      </c>
      <c r="BD6" s="56">
        <v>5.3</v>
      </c>
      <c r="BE6" s="56">
        <v>5.6</v>
      </c>
      <c r="BF6" s="56">
        <v>5.0999999999999996</v>
      </c>
      <c r="BG6" s="56">
        <v>5.0999999999999996</v>
      </c>
      <c r="BH6" s="56">
        <v>5.0999999999999996</v>
      </c>
      <c r="BI6" s="56">
        <v>5.0999999999999996</v>
      </c>
      <c r="BJ6" s="56">
        <v>5.5</v>
      </c>
      <c r="BK6" s="56">
        <v>5.4</v>
      </c>
      <c r="BL6" s="56">
        <v>5</v>
      </c>
      <c r="BM6" s="56">
        <v>5.4</v>
      </c>
      <c r="BN6" s="56">
        <v>5.4</v>
      </c>
      <c r="BO6" s="56">
        <v>5.5</v>
      </c>
      <c r="BP6" s="56">
        <v>5.0999999999999996</v>
      </c>
      <c r="BQ6" s="56">
        <v>5.0999999999999996</v>
      </c>
      <c r="BR6" s="56">
        <v>5.3</v>
      </c>
      <c r="BS6" s="56">
        <v>5.3</v>
      </c>
      <c r="BT6" s="56">
        <v>5.2</v>
      </c>
      <c r="BU6" s="56">
        <v>5</v>
      </c>
      <c r="BV6" s="56">
        <v>5.2</v>
      </c>
      <c r="BW6" s="56">
        <v>5</v>
      </c>
      <c r="BX6" s="56">
        <v>5.2</v>
      </c>
      <c r="BY6" s="56">
        <v>5.2</v>
      </c>
      <c r="BZ6" s="56">
        <v>5.0999999999999996</v>
      </c>
      <c r="CA6" s="56">
        <v>5.5</v>
      </c>
      <c r="CB6" s="56">
        <v>5.0999999999999996</v>
      </c>
      <c r="CC6" s="56">
        <v>5.7</v>
      </c>
      <c r="CD6" s="56">
        <v>5.0999999999999996</v>
      </c>
      <c r="CE6" s="56">
        <v>5.5</v>
      </c>
      <c r="CF6" s="56">
        <v>5.3</v>
      </c>
      <c r="CG6" s="56">
        <v>5.3</v>
      </c>
      <c r="CH6" s="56">
        <v>5.0999999999999996</v>
      </c>
      <c r="CI6" s="56">
        <v>5.0999999999999996</v>
      </c>
      <c r="CJ6" s="56">
        <v>5.5</v>
      </c>
      <c r="CK6" s="56">
        <v>5.2</v>
      </c>
      <c r="CL6" s="56">
        <v>4.5999999999999996</v>
      </c>
      <c r="CM6" s="56">
        <v>5.0999999999999996</v>
      </c>
      <c r="CN6" s="56">
        <v>5.4</v>
      </c>
      <c r="CO6" s="56">
        <v>5.4</v>
      </c>
      <c r="CP6" s="56">
        <v>5.0999999999999996</v>
      </c>
      <c r="CQ6" s="56">
        <v>5.4</v>
      </c>
      <c r="CR6" s="56">
        <v>5.3</v>
      </c>
      <c r="CS6" s="56">
        <v>4.7</v>
      </c>
      <c r="CT6" s="56">
        <v>5</v>
      </c>
      <c r="CU6" s="56">
        <v>5.4</v>
      </c>
      <c r="CV6" s="56">
        <v>5.3</v>
      </c>
      <c r="CW6" s="56">
        <v>5</v>
      </c>
      <c r="CX6" s="56">
        <v>5</v>
      </c>
      <c r="CY6" s="56">
        <v>5</v>
      </c>
      <c r="CZ6" s="58">
        <v>5</v>
      </c>
      <c r="DA6" s="56">
        <v>5</v>
      </c>
      <c r="DB6" s="56">
        <v>5.0999999999999996</v>
      </c>
      <c r="DC6" s="56">
        <v>5</v>
      </c>
      <c r="DD6" s="56">
        <v>5</v>
      </c>
      <c r="DE6" s="56">
        <v>5.0999999999999996</v>
      </c>
      <c r="DF6" s="49">
        <v>5.3</v>
      </c>
      <c r="DH6" s="23" t="s">
        <v>157</v>
      </c>
      <c r="DI6" s="24">
        <v>7.0000000000000007E-2</v>
      </c>
      <c r="DJ6" s="30"/>
      <c r="DL6" s="30"/>
      <c r="DM6" s="33"/>
      <c r="DN6" s="22"/>
    </row>
    <row r="7" spans="1:138" ht="18" x14ac:dyDescent="0.35">
      <c r="A7" s="24">
        <v>4</v>
      </c>
      <c r="B7" s="24" t="s">
        <v>50</v>
      </c>
      <c r="C7" s="24">
        <v>45</v>
      </c>
      <c r="D7" s="28">
        <v>44</v>
      </c>
      <c r="E7" s="29">
        <f t="shared" si="0"/>
        <v>45.733333333333334</v>
      </c>
      <c r="F7" s="46"/>
      <c r="G7" s="169"/>
      <c r="H7" s="44" t="s">
        <v>145</v>
      </c>
      <c r="I7" s="42" t="s">
        <v>41</v>
      </c>
      <c r="J7" s="49">
        <v>11.6</v>
      </c>
      <c r="K7" s="49">
        <v>6.5</v>
      </c>
      <c r="L7" s="49">
        <v>6.9</v>
      </c>
      <c r="M7" s="49">
        <v>7.2</v>
      </c>
      <c r="N7" s="49">
        <v>7.3</v>
      </c>
      <c r="O7" s="49">
        <v>6.7</v>
      </c>
      <c r="P7" s="49">
        <v>6</v>
      </c>
      <c r="Q7" s="49">
        <v>6.9</v>
      </c>
      <c r="R7" s="49">
        <v>7.2</v>
      </c>
      <c r="S7" s="49">
        <v>9.1999999999999993</v>
      </c>
      <c r="T7" s="49">
        <v>6.3</v>
      </c>
      <c r="U7" s="49">
        <v>7</v>
      </c>
      <c r="V7" s="49">
        <v>7.4</v>
      </c>
      <c r="W7" s="49">
        <v>7</v>
      </c>
      <c r="X7" s="49">
        <v>8.6999999999999993</v>
      </c>
      <c r="Y7" s="49">
        <v>7.4</v>
      </c>
      <c r="Z7" s="49">
        <v>7.8</v>
      </c>
      <c r="AA7" s="49">
        <v>8.9</v>
      </c>
      <c r="AB7" s="49">
        <v>8.1</v>
      </c>
      <c r="AC7" s="49">
        <v>9.1999999999999993</v>
      </c>
      <c r="AD7" s="49">
        <v>7.8</v>
      </c>
      <c r="AE7" s="49">
        <v>10.5</v>
      </c>
      <c r="AF7" s="49">
        <v>6.3</v>
      </c>
      <c r="AG7" s="49">
        <v>6.1</v>
      </c>
      <c r="AH7" s="49">
        <v>6.4</v>
      </c>
      <c r="AI7" s="49">
        <v>12.4</v>
      </c>
      <c r="AJ7" s="49">
        <v>10.5</v>
      </c>
      <c r="AK7" s="49">
        <v>7.1</v>
      </c>
      <c r="AL7" s="49">
        <v>10.6</v>
      </c>
      <c r="AM7" s="49">
        <v>5.7</v>
      </c>
      <c r="AN7" s="49">
        <v>8.6</v>
      </c>
      <c r="AO7" s="49">
        <v>7</v>
      </c>
      <c r="AP7" s="49">
        <v>7.5</v>
      </c>
      <c r="AQ7" s="49">
        <v>8.5</v>
      </c>
      <c r="AR7" s="49">
        <v>7.4</v>
      </c>
      <c r="AS7" s="56">
        <v>6.4</v>
      </c>
      <c r="AT7" s="56">
        <v>7.5</v>
      </c>
      <c r="AU7" s="56">
        <v>8.1999999999999993</v>
      </c>
      <c r="AV7" s="56">
        <v>7.5</v>
      </c>
      <c r="AW7" s="56">
        <v>9</v>
      </c>
      <c r="AX7" s="56">
        <v>6.4</v>
      </c>
      <c r="AY7" s="56">
        <v>6.2</v>
      </c>
      <c r="AZ7" s="56">
        <v>8.1</v>
      </c>
      <c r="BA7" s="56">
        <v>7.2</v>
      </c>
      <c r="BB7" s="56">
        <v>9.1999999999999993</v>
      </c>
      <c r="BC7" s="56">
        <v>7.1</v>
      </c>
      <c r="BD7" s="56">
        <v>7.2</v>
      </c>
      <c r="BE7" s="56">
        <v>9.6</v>
      </c>
      <c r="BF7" s="56">
        <v>6.5</v>
      </c>
      <c r="BG7" s="56">
        <v>6</v>
      </c>
      <c r="BH7" s="56">
        <v>6.7</v>
      </c>
      <c r="BI7" s="56">
        <v>7.5</v>
      </c>
      <c r="BJ7" s="56">
        <v>7.6</v>
      </c>
      <c r="BK7" s="56">
        <v>8.5</v>
      </c>
      <c r="BL7" s="56">
        <v>6.8</v>
      </c>
      <c r="BM7" s="56">
        <v>8.8000000000000007</v>
      </c>
      <c r="BN7" s="56">
        <v>8.9</v>
      </c>
      <c r="BO7" s="56">
        <v>10.199999999999999</v>
      </c>
      <c r="BP7" s="56">
        <v>7.1</v>
      </c>
      <c r="BQ7" s="56">
        <v>5.9</v>
      </c>
      <c r="BR7" s="56">
        <v>7.5</v>
      </c>
      <c r="BS7" s="56">
        <v>7</v>
      </c>
      <c r="BT7" s="56">
        <v>7.1</v>
      </c>
      <c r="BU7" s="56">
        <v>6.4</v>
      </c>
      <c r="BV7" s="56">
        <v>6.3</v>
      </c>
      <c r="BW7" s="56">
        <v>8</v>
      </c>
      <c r="BX7" s="56">
        <v>6.9</v>
      </c>
      <c r="BY7" s="56">
        <v>6.1</v>
      </c>
      <c r="BZ7" s="56">
        <v>6</v>
      </c>
      <c r="CA7" s="56">
        <v>7.5</v>
      </c>
      <c r="CB7" s="56">
        <v>7.5</v>
      </c>
      <c r="CC7" s="56">
        <v>9</v>
      </c>
      <c r="CD7" s="56">
        <v>7.1</v>
      </c>
      <c r="CE7" s="56">
        <v>11.6</v>
      </c>
      <c r="CF7" s="56">
        <v>6.5</v>
      </c>
      <c r="CG7" s="56">
        <v>8.4</v>
      </c>
      <c r="CH7" s="56">
        <v>7.6</v>
      </c>
      <c r="CI7" s="56">
        <v>6.9</v>
      </c>
      <c r="CJ7" s="56">
        <v>6.4</v>
      </c>
      <c r="CK7" s="56">
        <v>6.5</v>
      </c>
      <c r="CL7" s="56">
        <v>9.6</v>
      </c>
      <c r="CM7" s="56">
        <v>7.8</v>
      </c>
      <c r="CN7" s="56">
        <v>11.6</v>
      </c>
      <c r="CO7" s="56">
        <v>8.8000000000000007</v>
      </c>
      <c r="CP7" s="56">
        <v>7.4</v>
      </c>
      <c r="CQ7" s="56">
        <v>8.8000000000000007</v>
      </c>
      <c r="CR7" s="56">
        <v>7.2</v>
      </c>
      <c r="CS7" s="56">
        <v>9</v>
      </c>
      <c r="CT7" s="56">
        <v>7.2</v>
      </c>
      <c r="CU7" s="56">
        <v>11</v>
      </c>
      <c r="CV7" s="56">
        <v>7.2</v>
      </c>
      <c r="CW7" s="56">
        <v>6.1</v>
      </c>
      <c r="CX7" s="56">
        <v>7.1</v>
      </c>
      <c r="CY7" s="56">
        <v>5.9</v>
      </c>
      <c r="CZ7" s="58">
        <v>6.4</v>
      </c>
      <c r="DA7" s="56">
        <v>6.4</v>
      </c>
      <c r="DB7" s="56">
        <v>6.7</v>
      </c>
      <c r="DC7" s="56">
        <v>7.5</v>
      </c>
      <c r="DD7" s="56">
        <v>6.8</v>
      </c>
      <c r="DE7" s="56">
        <v>5.9</v>
      </c>
      <c r="DF7" s="49">
        <v>7.6</v>
      </c>
      <c r="DH7" s="23" t="s">
        <v>158</v>
      </c>
      <c r="DI7" s="24">
        <v>0.26</v>
      </c>
      <c r="DJ7" s="30"/>
      <c r="DL7" s="30"/>
      <c r="DM7" s="33"/>
      <c r="DN7" s="22"/>
    </row>
    <row r="8" spans="1:138" ht="18" x14ac:dyDescent="0.35">
      <c r="A8" s="24">
        <v>5</v>
      </c>
      <c r="B8" s="24" t="s">
        <v>51</v>
      </c>
      <c r="C8" s="24">
        <v>43</v>
      </c>
      <c r="D8" s="28">
        <v>27</v>
      </c>
      <c r="E8" s="29">
        <f t="shared" si="0"/>
        <v>43.45</v>
      </c>
      <c r="F8" s="46"/>
      <c r="G8" s="169" t="s">
        <v>171</v>
      </c>
      <c r="H8" s="44" t="s">
        <v>146</v>
      </c>
      <c r="I8" s="42" t="s">
        <v>41</v>
      </c>
      <c r="J8" s="49">
        <v>6.2</v>
      </c>
      <c r="K8" s="49">
        <v>6.7</v>
      </c>
      <c r="L8" s="49">
        <v>6.6</v>
      </c>
      <c r="M8" s="49">
        <v>6.7</v>
      </c>
      <c r="N8" s="49">
        <v>6.8</v>
      </c>
      <c r="O8" s="49">
        <v>6.9</v>
      </c>
      <c r="P8" s="49">
        <v>6.9</v>
      </c>
      <c r="Q8" s="49">
        <v>6.7</v>
      </c>
      <c r="R8" s="49">
        <v>6.8</v>
      </c>
      <c r="S8" s="49">
        <v>6.3</v>
      </c>
      <c r="T8" s="49">
        <v>6.7</v>
      </c>
      <c r="U8" s="49">
        <v>6.7</v>
      </c>
      <c r="V8" s="49">
        <v>6.9</v>
      </c>
      <c r="W8" s="49">
        <v>6.6</v>
      </c>
      <c r="X8" s="49">
        <v>6.6</v>
      </c>
      <c r="Y8" s="49">
        <v>6.7</v>
      </c>
      <c r="Z8" s="49">
        <v>6.6</v>
      </c>
      <c r="AA8" s="49">
        <v>6.9</v>
      </c>
      <c r="AB8" s="49">
        <v>6.7</v>
      </c>
      <c r="AC8" s="49">
        <v>6.6</v>
      </c>
      <c r="AD8" s="49">
        <v>6.6</v>
      </c>
      <c r="AE8" s="49">
        <v>6.6</v>
      </c>
      <c r="AF8" s="49">
        <v>6.8</v>
      </c>
      <c r="AG8" s="49">
        <v>6.7</v>
      </c>
      <c r="AH8" s="49">
        <v>6.7</v>
      </c>
      <c r="AI8" s="49">
        <v>6.2</v>
      </c>
      <c r="AJ8" s="49">
        <v>6.6</v>
      </c>
      <c r="AK8" s="49">
        <v>6.9</v>
      </c>
      <c r="AL8" s="49">
        <v>6.5</v>
      </c>
      <c r="AM8" s="49">
        <v>6.7</v>
      </c>
      <c r="AN8" s="49">
        <v>6.5</v>
      </c>
      <c r="AO8" s="49">
        <v>6.7</v>
      </c>
      <c r="AP8" s="49">
        <v>6.6</v>
      </c>
      <c r="AQ8" s="49">
        <v>6.7</v>
      </c>
      <c r="AR8" s="49">
        <v>6.7</v>
      </c>
      <c r="AS8" s="56">
        <v>6.7</v>
      </c>
      <c r="AT8" s="56">
        <v>6.7</v>
      </c>
      <c r="AU8" s="56">
        <v>6.5</v>
      </c>
      <c r="AV8" s="56">
        <v>6.9</v>
      </c>
      <c r="AW8" s="56">
        <v>6.8</v>
      </c>
      <c r="AX8" s="56">
        <v>6.7</v>
      </c>
      <c r="AY8" s="56">
        <v>6.7</v>
      </c>
      <c r="AZ8" s="56">
        <v>6.8</v>
      </c>
      <c r="BA8" s="56">
        <v>6.7</v>
      </c>
      <c r="BB8" s="56">
        <v>6.6</v>
      </c>
      <c r="BC8" s="56">
        <v>6.8</v>
      </c>
      <c r="BD8" s="56">
        <v>6.7</v>
      </c>
      <c r="BE8" s="56">
        <v>6.7</v>
      </c>
      <c r="BF8" s="56">
        <v>6.7</v>
      </c>
      <c r="BG8" s="56">
        <v>6.7</v>
      </c>
      <c r="BH8" s="56">
        <v>6.7</v>
      </c>
      <c r="BI8" s="56">
        <v>6.7</v>
      </c>
      <c r="BJ8" s="56">
        <v>6.8</v>
      </c>
      <c r="BK8" s="56">
        <v>6.7</v>
      </c>
      <c r="BL8" s="56">
        <v>6.6</v>
      </c>
      <c r="BM8" s="56">
        <v>6.8</v>
      </c>
      <c r="BN8" s="56">
        <v>6.8</v>
      </c>
      <c r="BO8" s="56">
        <v>6.6</v>
      </c>
      <c r="BP8" s="56">
        <v>6.6</v>
      </c>
      <c r="BQ8" s="56">
        <v>6.7</v>
      </c>
      <c r="BR8" s="56">
        <v>6.6</v>
      </c>
      <c r="BS8" s="56">
        <v>6.8</v>
      </c>
      <c r="BT8" s="56">
        <v>6.7</v>
      </c>
      <c r="BU8" s="56">
        <v>6.7</v>
      </c>
      <c r="BV8" s="56">
        <v>6.8</v>
      </c>
      <c r="BW8" s="56">
        <v>6.5</v>
      </c>
      <c r="BX8" s="56">
        <v>6.7</v>
      </c>
      <c r="BY8" s="56">
        <v>6.8</v>
      </c>
      <c r="BZ8" s="56">
        <v>6.7</v>
      </c>
      <c r="CA8" s="56">
        <v>6.9</v>
      </c>
      <c r="CB8" s="56">
        <v>6.6</v>
      </c>
      <c r="CC8" s="56">
        <v>6.6</v>
      </c>
      <c r="CD8" s="56">
        <v>6.6</v>
      </c>
      <c r="CE8" s="56">
        <v>6.5</v>
      </c>
      <c r="CF8" s="56">
        <v>6.9</v>
      </c>
      <c r="CG8" s="56">
        <v>6.7</v>
      </c>
      <c r="CH8" s="56">
        <v>6.7</v>
      </c>
      <c r="CI8" s="56">
        <v>6.7</v>
      </c>
      <c r="CJ8" s="56">
        <v>7</v>
      </c>
      <c r="CK8" s="56">
        <v>6.8</v>
      </c>
      <c r="CL8" s="56">
        <v>6.4</v>
      </c>
      <c r="CM8" s="56">
        <v>6.7</v>
      </c>
      <c r="CN8" s="56">
        <v>6.4</v>
      </c>
      <c r="CO8" s="56">
        <v>6.7</v>
      </c>
      <c r="CP8" s="56">
        <v>6.7</v>
      </c>
      <c r="CQ8" s="56">
        <v>6.6</v>
      </c>
      <c r="CR8" s="56">
        <v>6.8</v>
      </c>
      <c r="CS8" s="56">
        <v>6.5</v>
      </c>
      <c r="CT8" s="56">
        <v>6.6</v>
      </c>
      <c r="CU8" s="56">
        <v>6.4</v>
      </c>
      <c r="CV8" s="56">
        <v>6.9</v>
      </c>
      <c r="CW8" s="56">
        <v>6.7</v>
      </c>
      <c r="CX8" s="56">
        <v>6.7</v>
      </c>
      <c r="CY8" s="56">
        <v>6.7</v>
      </c>
      <c r="CZ8" s="58">
        <v>6.7</v>
      </c>
      <c r="DA8" s="56">
        <v>6.6</v>
      </c>
      <c r="DB8" s="56">
        <v>6.6</v>
      </c>
      <c r="DC8" s="56">
        <v>6.6</v>
      </c>
      <c r="DD8" s="56">
        <v>6.6</v>
      </c>
      <c r="DE8" s="56">
        <v>6.7</v>
      </c>
      <c r="DF8" s="49">
        <v>6.8</v>
      </c>
      <c r="DH8" s="23" t="s">
        <v>159</v>
      </c>
      <c r="DI8" s="24">
        <v>0.1</v>
      </c>
      <c r="DJ8" s="30"/>
      <c r="DL8" s="30"/>
      <c r="DM8" s="33"/>
      <c r="DN8" s="22"/>
    </row>
    <row r="9" spans="1:138" ht="18" x14ac:dyDescent="0.35">
      <c r="A9" s="24">
        <v>6</v>
      </c>
      <c r="B9" s="26" t="s">
        <v>181</v>
      </c>
      <c r="C9" s="24">
        <v>42</v>
      </c>
      <c r="D9" s="28">
        <v>51</v>
      </c>
      <c r="E9" s="29">
        <f t="shared" si="0"/>
        <v>42.85</v>
      </c>
      <c r="F9" s="46"/>
      <c r="G9" s="169"/>
      <c r="H9" s="44" t="s">
        <v>145</v>
      </c>
      <c r="I9" s="42" t="s">
        <v>41</v>
      </c>
      <c r="J9" s="49">
        <v>16</v>
      </c>
      <c r="K9" s="49">
        <v>9.1</v>
      </c>
      <c r="L9" s="49">
        <v>11.7</v>
      </c>
      <c r="M9" s="49">
        <v>9</v>
      </c>
      <c r="N9" s="49">
        <v>10.4</v>
      </c>
      <c r="O9" s="49">
        <v>7.9</v>
      </c>
      <c r="P9" s="49">
        <v>8.1999999999999993</v>
      </c>
      <c r="Q9" s="49">
        <v>9.6</v>
      </c>
      <c r="R9" s="49">
        <v>11.3</v>
      </c>
      <c r="S9" s="49">
        <v>14.3</v>
      </c>
      <c r="T9" s="49">
        <v>8.9</v>
      </c>
      <c r="U9" s="49">
        <v>8.6</v>
      </c>
      <c r="V9" s="49">
        <v>10.3</v>
      </c>
      <c r="W9" s="49">
        <v>10.7</v>
      </c>
      <c r="X9" s="49">
        <v>13</v>
      </c>
      <c r="Y9" s="49">
        <v>9.4</v>
      </c>
      <c r="Z9" s="49">
        <v>9.9</v>
      </c>
      <c r="AA9" s="49">
        <v>11.6</v>
      </c>
      <c r="AB9" s="49">
        <v>12</v>
      </c>
      <c r="AC9" s="49">
        <v>12.8</v>
      </c>
      <c r="AD9" s="49">
        <v>12.1</v>
      </c>
      <c r="AE9" s="49">
        <v>14.2</v>
      </c>
      <c r="AF9" s="49">
        <v>7.8</v>
      </c>
      <c r="AG9" s="49">
        <v>8.9</v>
      </c>
      <c r="AH9" s="49">
        <v>10.1</v>
      </c>
      <c r="AI9" s="49">
        <v>15.6</v>
      </c>
      <c r="AJ9" s="49">
        <v>14.1</v>
      </c>
      <c r="AK9" s="49">
        <v>12</v>
      </c>
      <c r="AL9" s="49">
        <v>14.6</v>
      </c>
      <c r="AM9" s="49">
        <v>10.7</v>
      </c>
      <c r="AN9" s="49">
        <v>13</v>
      </c>
      <c r="AO9" s="49">
        <v>10.7</v>
      </c>
      <c r="AP9" s="49">
        <v>11.1</v>
      </c>
      <c r="AQ9" s="49">
        <v>10.7</v>
      </c>
      <c r="AR9" s="49">
        <v>10.199999999999999</v>
      </c>
      <c r="AS9" s="56">
        <v>9.5</v>
      </c>
      <c r="AT9" s="56">
        <v>11.5</v>
      </c>
      <c r="AU9" s="56">
        <v>12</v>
      </c>
      <c r="AV9" s="56">
        <v>9.5</v>
      </c>
      <c r="AW9" s="56">
        <v>12.5</v>
      </c>
      <c r="AX9" s="56">
        <v>9.1</v>
      </c>
      <c r="AY9" s="56">
        <v>9.6999999999999993</v>
      </c>
      <c r="AZ9" s="56">
        <v>12.1</v>
      </c>
      <c r="BA9" s="56">
        <v>11.2</v>
      </c>
      <c r="BB9" s="56">
        <v>12.9</v>
      </c>
      <c r="BC9" s="56">
        <v>9.9</v>
      </c>
      <c r="BD9" s="56">
        <v>10.9</v>
      </c>
      <c r="BE9" s="56">
        <v>13.6</v>
      </c>
      <c r="BF9" s="56">
        <v>9.8000000000000007</v>
      </c>
      <c r="BG9" s="56">
        <v>9.5</v>
      </c>
      <c r="BH9" s="56">
        <v>10.5</v>
      </c>
      <c r="BI9" s="56">
        <v>10.199999999999999</v>
      </c>
      <c r="BJ9" s="56">
        <v>11.6</v>
      </c>
      <c r="BK9" s="56">
        <v>12.2</v>
      </c>
      <c r="BL9" s="56">
        <v>10.199999999999999</v>
      </c>
      <c r="BM9" s="56">
        <v>12.1</v>
      </c>
      <c r="BN9" s="56">
        <v>12</v>
      </c>
      <c r="BO9" s="56">
        <v>14.2</v>
      </c>
      <c r="BP9" s="56">
        <v>10.9</v>
      </c>
      <c r="BQ9" s="56">
        <v>8</v>
      </c>
      <c r="BR9" s="56">
        <v>11.9</v>
      </c>
      <c r="BS9" s="56">
        <v>9.8000000000000007</v>
      </c>
      <c r="BT9" s="56">
        <v>11.1</v>
      </c>
      <c r="BU9" s="56">
        <v>8.3000000000000007</v>
      </c>
      <c r="BV9" s="56">
        <v>8.8000000000000007</v>
      </c>
      <c r="BW9" s="56">
        <v>11.8</v>
      </c>
      <c r="BX9" s="56">
        <v>10.7</v>
      </c>
      <c r="BY9" s="56">
        <v>8.1</v>
      </c>
      <c r="BZ9" s="56">
        <v>9.6</v>
      </c>
      <c r="CA9" s="56">
        <v>10.9</v>
      </c>
      <c r="CB9" s="56">
        <v>11.1</v>
      </c>
      <c r="CC9" s="56">
        <v>14</v>
      </c>
      <c r="CD9" s="56">
        <v>10.9</v>
      </c>
      <c r="CE9" s="56">
        <v>15</v>
      </c>
      <c r="CF9" s="56">
        <v>7.6</v>
      </c>
      <c r="CG9" s="56">
        <v>12.2</v>
      </c>
      <c r="CH9" s="56">
        <v>10.199999999999999</v>
      </c>
      <c r="CI9" s="58">
        <v>9.6</v>
      </c>
      <c r="CJ9" s="56">
        <v>8.6999999999999993</v>
      </c>
      <c r="CK9" s="56">
        <v>9.1999999999999993</v>
      </c>
      <c r="CL9" s="56">
        <v>11.4</v>
      </c>
      <c r="CM9" s="56">
        <v>10.4</v>
      </c>
      <c r="CN9" s="56">
        <v>15.4</v>
      </c>
      <c r="CO9" s="56">
        <v>12.3</v>
      </c>
      <c r="CP9" s="56">
        <v>9.9</v>
      </c>
      <c r="CQ9" s="56">
        <v>12.9</v>
      </c>
      <c r="CR9" s="56">
        <v>10.7</v>
      </c>
      <c r="CS9" s="56">
        <v>11.2</v>
      </c>
      <c r="CT9" s="56">
        <v>10.4</v>
      </c>
      <c r="CU9" s="56">
        <v>15.1</v>
      </c>
      <c r="CV9" s="56">
        <v>8.4</v>
      </c>
      <c r="CW9" s="56">
        <v>8.9</v>
      </c>
      <c r="CX9" s="56">
        <v>9.1999999999999993</v>
      </c>
      <c r="CY9" s="56">
        <v>8.6</v>
      </c>
      <c r="CZ9" s="58">
        <v>8.6999999999999993</v>
      </c>
      <c r="DA9" s="56">
        <v>10.3</v>
      </c>
      <c r="DB9" s="56">
        <v>10.1</v>
      </c>
      <c r="DC9" s="56">
        <v>10.3</v>
      </c>
      <c r="DD9" s="56">
        <v>8.6999999999999993</v>
      </c>
      <c r="DE9" s="56">
        <v>8</v>
      </c>
      <c r="DF9" s="49">
        <v>9.4</v>
      </c>
      <c r="DH9" s="23" t="s">
        <v>160</v>
      </c>
      <c r="DI9" s="24">
        <v>0.22</v>
      </c>
      <c r="DJ9" s="30"/>
      <c r="DL9" s="30"/>
      <c r="DM9" s="33"/>
      <c r="DN9" s="22"/>
    </row>
    <row r="10" spans="1:138" ht="18" x14ac:dyDescent="0.35">
      <c r="A10" s="24">
        <v>7</v>
      </c>
      <c r="B10" s="24" t="s">
        <v>52</v>
      </c>
      <c r="C10" s="24">
        <v>44</v>
      </c>
      <c r="D10" s="28">
        <v>53</v>
      </c>
      <c r="E10" s="29">
        <f t="shared" si="0"/>
        <v>44.883333333333333</v>
      </c>
      <c r="F10" s="46"/>
      <c r="G10" s="169" t="s">
        <v>172</v>
      </c>
      <c r="H10" s="44" t="s">
        <v>146</v>
      </c>
      <c r="I10" s="42" t="s">
        <v>41</v>
      </c>
      <c r="J10" s="49">
        <v>6.3</v>
      </c>
      <c r="K10" s="49">
        <v>7.9</v>
      </c>
      <c r="L10" s="49">
        <v>7.4</v>
      </c>
      <c r="M10" s="49">
        <v>7.9</v>
      </c>
      <c r="N10" s="49">
        <v>7.8</v>
      </c>
      <c r="O10" s="49">
        <v>8</v>
      </c>
      <c r="P10" s="49">
        <v>8</v>
      </c>
      <c r="Q10" s="49">
        <v>7.9</v>
      </c>
      <c r="R10" s="49">
        <v>7.6</v>
      </c>
      <c r="S10" s="49">
        <v>6.8</v>
      </c>
      <c r="T10" s="49">
        <v>7.9</v>
      </c>
      <c r="U10" s="49">
        <v>7.9</v>
      </c>
      <c r="V10" s="49">
        <v>7.8</v>
      </c>
      <c r="W10" s="49">
        <v>7.7</v>
      </c>
      <c r="X10" s="49">
        <v>7.4</v>
      </c>
      <c r="Y10" s="49">
        <v>7.8</v>
      </c>
      <c r="Z10" s="49">
        <v>7.8</v>
      </c>
      <c r="AA10" s="49">
        <v>7.6</v>
      </c>
      <c r="AB10" s="49">
        <v>7.4</v>
      </c>
      <c r="AC10" s="49">
        <v>7.3</v>
      </c>
      <c r="AD10" s="49">
        <v>7.3</v>
      </c>
      <c r="AE10" s="49">
        <v>6.9</v>
      </c>
      <c r="AF10" s="49">
        <v>8</v>
      </c>
      <c r="AG10" s="49">
        <v>7.9</v>
      </c>
      <c r="AH10" s="49">
        <v>7.8</v>
      </c>
      <c r="AI10" s="49">
        <v>6.8</v>
      </c>
      <c r="AJ10" s="49">
        <v>6.9</v>
      </c>
      <c r="AK10" s="49">
        <v>7.5</v>
      </c>
      <c r="AL10" s="49">
        <v>6.8</v>
      </c>
      <c r="AM10" s="49">
        <v>7.7</v>
      </c>
      <c r="AN10" s="49">
        <v>7.3</v>
      </c>
      <c r="AO10" s="49">
        <v>7.6</v>
      </c>
      <c r="AP10" s="49">
        <v>7.5</v>
      </c>
      <c r="AQ10" s="49">
        <v>7.7</v>
      </c>
      <c r="AR10" s="49">
        <v>7.8</v>
      </c>
      <c r="AS10" s="56">
        <v>7.9</v>
      </c>
      <c r="AT10" s="56">
        <v>7.4</v>
      </c>
      <c r="AU10" s="56">
        <v>7.6</v>
      </c>
      <c r="AV10" s="56">
        <v>7.9</v>
      </c>
      <c r="AW10" s="56">
        <v>7.4</v>
      </c>
      <c r="AX10" s="56">
        <v>7.9</v>
      </c>
      <c r="AY10" s="56">
        <v>7.8</v>
      </c>
      <c r="AZ10" s="56">
        <v>7.3</v>
      </c>
      <c r="BA10" s="56">
        <v>7.5</v>
      </c>
      <c r="BB10" s="56">
        <v>7.2</v>
      </c>
      <c r="BC10" s="56">
        <v>7.9</v>
      </c>
      <c r="BD10" s="56">
        <v>7.5</v>
      </c>
      <c r="BE10" s="56">
        <v>7.2</v>
      </c>
      <c r="BF10" s="56">
        <v>7.9</v>
      </c>
      <c r="BG10" s="56">
        <v>7.8</v>
      </c>
      <c r="BH10" s="56">
        <v>7.6</v>
      </c>
      <c r="BI10" s="56">
        <v>7.8</v>
      </c>
      <c r="BJ10" s="56">
        <v>7.6</v>
      </c>
      <c r="BK10" s="56">
        <v>7.4</v>
      </c>
      <c r="BL10" s="56">
        <v>7.8</v>
      </c>
      <c r="BM10" s="56">
        <v>7.3</v>
      </c>
      <c r="BN10" s="56">
        <v>7.4</v>
      </c>
      <c r="BO10" s="56">
        <v>6.9</v>
      </c>
      <c r="BP10" s="56">
        <v>7.7</v>
      </c>
      <c r="BQ10" s="56">
        <v>7.9</v>
      </c>
      <c r="BR10" s="56">
        <v>7.4</v>
      </c>
      <c r="BS10" s="56">
        <v>7.7</v>
      </c>
      <c r="BT10" s="56">
        <v>7.5</v>
      </c>
      <c r="BU10" s="56">
        <v>7.9</v>
      </c>
      <c r="BV10" s="56">
        <v>7.9</v>
      </c>
      <c r="BW10" s="56">
        <v>7.6</v>
      </c>
      <c r="BX10" s="56">
        <v>7.7</v>
      </c>
      <c r="BY10" s="56">
        <v>8</v>
      </c>
      <c r="BZ10" s="56">
        <v>7.8</v>
      </c>
      <c r="CA10" s="56">
        <v>7.7</v>
      </c>
      <c r="CB10" s="56">
        <v>7.8</v>
      </c>
      <c r="CC10" s="56">
        <v>7.1</v>
      </c>
      <c r="CD10" s="56">
        <v>7.6</v>
      </c>
      <c r="CE10" s="56">
        <v>7</v>
      </c>
      <c r="CF10" s="56">
        <v>8</v>
      </c>
      <c r="CG10" s="56">
        <v>7.3</v>
      </c>
      <c r="CH10" s="56">
        <v>7.6</v>
      </c>
      <c r="CI10" s="56">
        <v>7.6</v>
      </c>
      <c r="CJ10" s="56">
        <v>8</v>
      </c>
      <c r="CK10" s="56">
        <v>7.8</v>
      </c>
      <c r="CL10" s="56">
        <v>7.6</v>
      </c>
      <c r="CM10" s="56">
        <v>7.8</v>
      </c>
      <c r="CN10" s="56">
        <v>6.7</v>
      </c>
      <c r="CO10" s="56">
        <v>7.2</v>
      </c>
      <c r="CP10" s="56">
        <v>7.9</v>
      </c>
      <c r="CQ10" s="56">
        <v>7.3</v>
      </c>
      <c r="CR10" s="56">
        <v>7.7</v>
      </c>
      <c r="CS10" s="56">
        <v>7.7</v>
      </c>
      <c r="CT10" s="56">
        <v>7.9</v>
      </c>
      <c r="CU10" s="56">
        <v>6.5</v>
      </c>
      <c r="CV10" s="56">
        <v>7.9</v>
      </c>
      <c r="CW10" s="56">
        <v>7.8</v>
      </c>
      <c r="CX10" s="56">
        <v>7.8</v>
      </c>
      <c r="CY10" s="56">
        <v>7.9</v>
      </c>
      <c r="CZ10" s="58">
        <v>7.9</v>
      </c>
      <c r="DA10" s="56">
        <v>7.9</v>
      </c>
      <c r="DB10" s="56">
        <v>7.8</v>
      </c>
      <c r="DC10" s="56">
        <v>7.6</v>
      </c>
      <c r="DD10" s="56">
        <v>7.8</v>
      </c>
      <c r="DE10" s="56">
        <v>7.9</v>
      </c>
      <c r="DF10" s="49">
        <v>7.7</v>
      </c>
      <c r="DH10" s="23" t="s">
        <v>161</v>
      </c>
      <c r="DI10" s="24">
        <v>0.3</v>
      </c>
      <c r="DJ10" s="30"/>
      <c r="DL10" s="30"/>
      <c r="DM10" s="33"/>
      <c r="DN10" s="22"/>
    </row>
    <row r="11" spans="1:138" ht="18" x14ac:dyDescent="0.35">
      <c r="A11" s="24">
        <v>8</v>
      </c>
      <c r="B11" s="24" t="s">
        <v>53</v>
      </c>
      <c r="C11" s="24">
        <v>40</v>
      </c>
      <c r="D11" s="28">
        <v>54</v>
      </c>
      <c r="E11" s="29">
        <f t="shared" si="0"/>
        <v>40.9</v>
      </c>
      <c r="F11" s="46"/>
      <c r="G11" s="169"/>
      <c r="H11" s="44" t="s">
        <v>145</v>
      </c>
      <c r="I11" s="42" t="s">
        <v>41</v>
      </c>
      <c r="J11" s="49">
        <v>20.6</v>
      </c>
      <c r="K11" s="49">
        <v>10.6</v>
      </c>
      <c r="L11" s="49">
        <v>15.7</v>
      </c>
      <c r="M11" s="49">
        <v>10.3</v>
      </c>
      <c r="N11" s="49">
        <v>13</v>
      </c>
      <c r="O11" s="49">
        <v>11.3</v>
      </c>
      <c r="P11" s="49">
        <v>11.2</v>
      </c>
      <c r="Q11" s="49">
        <v>10.7</v>
      </c>
      <c r="R11" s="49">
        <v>14.7</v>
      </c>
      <c r="S11" s="49">
        <v>18.5</v>
      </c>
      <c r="T11" s="49">
        <v>11.2</v>
      </c>
      <c r="U11" s="49">
        <v>11.4</v>
      </c>
      <c r="V11" s="49">
        <v>13.1</v>
      </c>
      <c r="W11" s="49">
        <v>13.3</v>
      </c>
      <c r="X11" s="49">
        <v>16.100000000000001</v>
      </c>
      <c r="Y11" s="49">
        <v>12.6</v>
      </c>
      <c r="Z11" s="49">
        <v>12.5</v>
      </c>
      <c r="AA11" s="49">
        <v>14.9</v>
      </c>
      <c r="AB11" s="49">
        <v>16.100000000000001</v>
      </c>
      <c r="AC11" s="49">
        <v>16.5</v>
      </c>
      <c r="AD11" s="49">
        <v>16</v>
      </c>
      <c r="AE11" s="49">
        <v>18.600000000000001</v>
      </c>
      <c r="AF11" s="49">
        <v>8.4</v>
      </c>
      <c r="AG11" s="49">
        <v>10.199999999999999</v>
      </c>
      <c r="AH11" s="49">
        <v>12.7</v>
      </c>
      <c r="AI11" s="49">
        <v>18.899999999999999</v>
      </c>
      <c r="AJ11" s="49">
        <v>18.600000000000001</v>
      </c>
      <c r="AK11" s="49">
        <v>15.6</v>
      </c>
      <c r="AL11" s="49">
        <v>18.899999999999999</v>
      </c>
      <c r="AM11" s="49">
        <v>13.4</v>
      </c>
      <c r="AN11" s="49">
        <v>16.5</v>
      </c>
      <c r="AO11" s="49">
        <v>14.3</v>
      </c>
      <c r="AP11" s="49">
        <v>14.7</v>
      </c>
      <c r="AQ11" s="49">
        <v>13.2</v>
      </c>
      <c r="AR11" s="49">
        <v>12.8</v>
      </c>
      <c r="AS11" s="56">
        <v>11.7</v>
      </c>
      <c r="AT11" s="56">
        <v>15.9</v>
      </c>
      <c r="AU11" s="56">
        <v>14.5</v>
      </c>
      <c r="AV11" s="56">
        <v>11.8</v>
      </c>
      <c r="AW11" s="56">
        <v>16.100000000000001</v>
      </c>
      <c r="AX11" s="56">
        <v>10.5</v>
      </c>
      <c r="AY11" s="56">
        <v>12.2</v>
      </c>
      <c r="AZ11" s="56">
        <v>16.3</v>
      </c>
      <c r="BA11" s="56">
        <v>15</v>
      </c>
      <c r="BB11" s="56">
        <v>16.600000000000001</v>
      </c>
      <c r="BC11" s="56">
        <v>12.4</v>
      </c>
      <c r="BD11" s="56">
        <v>15.2</v>
      </c>
      <c r="BE11" s="56">
        <v>17.2</v>
      </c>
      <c r="BF11" s="56">
        <v>12.1</v>
      </c>
      <c r="BG11" s="56">
        <v>12.2</v>
      </c>
      <c r="BH11" s="56">
        <v>14</v>
      </c>
      <c r="BI11" s="56">
        <v>12.4</v>
      </c>
      <c r="BJ11" s="56">
        <v>15.1</v>
      </c>
      <c r="BK11" s="56">
        <v>16.3</v>
      </c>
      <c r="BL11" s="56">
        <v>12.2</v>
      </c>
      <c r="BM11" s="56">
        <v>16.3</v>
      </c>
      <c r="BN11" s="56">
        <v>15.9</v>
      </c>
      <c r="BO11" s="56">
        <v>18.3</v>
      </c>
      <c r="BP11" s="56">
        <v>13.4</v>
      </c>
      <c r="BQ11" s="56">
        <v>10.9</v>
      </c>
      <c r="BR11" s="56">
        <v>15.6</v>
      </c>
      <c r="BS11" s="56">
        <v>13.7</v>
      </c>
      <c r="BT11" s="56">
        <v>14.8</v>
      </c>
      <c r="BU11" s="56">
        <v>11</v>
      </c>
      <c r="BV11" s="56">
        <v>11</v>
      </c>
      <c r="BW11" s="56">
        <v>13.9</v>
      </c>
      <c r="BX11" s="56">
        <v>13.5</v>
      </c>
      <c r="BY11" s="56">
        <v>9.9</v>
      </c>
      <c r="BZ11" s="56">
        <v>12.3</v>
      </c>
      <c r="CA11" s="56">
        <v>14.2</v>
      </c>
      <c r="CB11" s="56">
        <v>13.1</v>
      </c>
      <c r="CC11" s="56">
        <v>17.600000000000001</v>
      </c>
      <c r="CD11" s="56">
        <v>14</v>
      </c>
      <c r="CE11" s="56">
        <v>18.399999999999999</v>
      </c>
      <c r="CF11" s="56">
        <v>11.4</v>
      </c>
      <c r="CG11" s="56">
        <v>16.3</v>
      </c>
      <c r="CH11" s="56">
        <v>14.1</v>
      </c>
      <c r="CI11" s="56">
        <v>14</v>
      </c>
      <c r="CJ11" s="56">
        <v>11.7</v>
      </c>
      <c r="CK11" s="56">
        <v>12.6</v>
      </c>
      <c r="CL11" s="56">
        <v>13.8</v>
      </c>
      <c r="CM11" s="56">
        <v>12.4</v>
      </c>
      <c r="CN11" s="56">
        <v>19.3</v>
      </c>
      <c r="CO11" s="56">
        <v>16.899999999999999</v>
      </c>
      <c r="CP11" s="56">
        <v>11.7</v>
      </c>
      <c r="CQ11" s="56">
        <v>16.5</v>
      </c>
      <c r="CR11" s="56">
        <v>13.6</v>
      </c>
      <c r="CS11" s="56">
        <v>13.2</v>
      </c>
      <c r="CT11" s="56">
        <v>11.7</v>
      </c>
      <c r="CU11" s="56">
        <v>20</v>
      </c>
      <c r="CV11" s="56">
        <v>12</v>
      </c>
      <c r="CW11" s="56">
        <v>12.2</v>
      </c>
      <c r="CX11" s="56">
        <v>12.5</v>
      </c>
      <c r="CY11" s="56">
        <v>11.1</v>
      </c>
      <c r="CZ11" s="58">
        <v>11.2</v>
      </c>
      <c r="DA11" s="56">
        <v>10.3</v>
      </c>
      <c r="DB11" s="56">
        <v>12.3</v>
      </c>
      <c r="DC11" s="56">
        <v>14.3</v>
      </c>
      <c r="DD11" s="56">
        <v>11.6</v>
      </c>
      <c r="DE11" s="56">
        <v>11</v>
      </c>
      <c r="DF11" s="49">
        <v>13.2</v>
      </c>
      <c r="DH11" s="23" t="s">
        <v>162</v>
      </c>
      <c r="DI11" s="24">
        <v>0.2</v>
      </c>
      <c r="DJ11" s="30"/>
      <c r="DL11" s="30"/>
      <c r="DM11" s="33"/>
      <c r="DN11" s="22"/>
    </row>
    <row r="12" spans="1:138" ht="18" x14ac:dyDescent="0.35">
      <c r="A12" s="24">
        <v>9</v>
      </c>
      <c r="B12" s="24" t="s">
        <v>54</v>
      </c>
      <c r="C12" s="24">
        <v>41</v>
      </c>
      <c r="D12" s="28">
        <v>8</v>
      </c>
      <c r="E12" s="29">
        <f t="shared" si="0"/>
        <v>41.133333333333333</v>
      </c>
      <c r="F12" s="46"/>
      <c r="G12" s="169" t="s">
        <v>173</v>
      </c>
      <c r="H12" s="44" t="s">
        <v>146</v>
      </c>
      <c r="I12" s="42" t="s">
        <v>41</v>
      </c>
      <c r="J12" s="49">
        <v>6</v>
      </c>
      <c r="K12" s="49">
        <v>8.4</v>
      </c>
      <c r="L12" s="49">
        <v>7.9</v>
      </c>
      <c r="M12" s="49">
        <v>8.4</v>
      </c>
      <c r="N12" s="49">
        <v>8</v>
      </c>
      <c r="O12" s="49">
        <v>8.4</v>
      </c>
      <c r="P12" s="49">
        <v>8.1999999999999993</v>
      </c>
      <c r="Q12" s="49">
        <v>8.4</v>
      </c>
      <c r="R12" s="49">
        <v>7.8</v>
      </c>
      <c r="S12" s="49">
        <v>6.7</v>
      </c>
      <c r="T12" s="49">
        <v>8.4</v>
      </c>
      <c r="U12" s="49">
        <v>8.4</v>
      </c>
      <c r="V12" s="49">
        <v>7.8</v>
      </c>
      <c r="W12" s="49">
        <v>8</v>
      </c>
      <c r="X12" s="49">
        <v>7.1</v>
      </c>
      <c r="Y12" s="49">
        <v>8.1999999999999993</v>
      </c>
      <c r="Z12" s="49">
        <v>8.4</v>
      </c>
      <c r="AA12" s="49">
        <v>7.7</v>
      </c>
      <c r="AB12" s="49">
        <v>7.6</v>
      </c>
      <c r="AC12" s="49">
        <v>7</v>
      </c>
      <c r="AD12" s="49">
        <v>7.8</v>
      </c>
      <c r="AE12" s="49">
        <v>6.6</v>
      </c>
      <c r="AF12" s="49">
        <v>8.5</v>
      </c>
      <c r="AG12" s="49">
        <v>8.4</v>
      </c>
      <c r="AH12" s="49">
        <v>8</v>
      </c>
      <c r="AI12" s="49">
        <v>6</v>
      </c>
      <c r="AJ12" s="49">
        <v>6.6</v>
      </c>
      <c r="AK12" s="49">
        <v>7.1</v>
      </c>
      <c r="AL12" s="49">
        <v>6.5</v>
      </c>
      <c r="AM12" s="49">
        <v>8.1999999999999993</v>
      </c>
      <c r="AN12" s="49">
        <v>7.5</v>
      </c>
      <c r="AO12" s="49">
        <v>7.9</v>
      </c>
      <c r="AP12" s="49">
        <v>7.7</v>
      </c>
      <c r="AQ12" s="49">
        <v>7.6</v>
      </c>
      <c r="AR12" s="49">
        <v>8.1999999999999993</v>
      </c>
      <c r="AS12" s="56">
        <v>8.3000000000000007</v>
      </c>
      <c r="AT12" s="56">
        <v>7.6</v>
      </c>
      <c r="AU12" s="56">
        <v>7.8</v>
      </c>
      <c r="AV12" s="56">
        <v>8</v>
      </c>
      <c r="AW12" s="56">
        <v>7.4</v>
      </c>
      <c r="AX12" s="56">
        <v>8.4</v>
      </c>
      <c r="AY12" s="56">
        <v>8.1</v>
      </c>
      <c r="AZ12" s="56">
        <v>7.4</v>
      </c>
      <c r="BA12" s="56">
        <v>7.9</v>
      </c>
      <c r="BB12" s="56">
        <v>7</v>
      </c>
      <c r="BC12" s="56">
        <v>8.1999999999999993</v>
      </c>
      <c r="BD12" s="56">
        <v>7.8</v>
      </c>
      <c r="BE12" s="56">
        <v>7</v>
      </c>
      <c r="BF12" s="56">
        <v>8.3000000000000007</v>
      </c>
      <c r="BG12" s="56">
        <v>8</v>
      </c>
      <c r="BH12" s="56">
        <v>7.9</v>
      </c>
      <c r="BI12" s="56">
        <v>8.1</v>
      </c>
      <c r="BJ12" s="56">
        <v>7.7</v>
      </c>
      <c r="BK12" s="56">
        <v>7.4</v>
      </c>
      <c r="BL12" s="56">
        <v>8.1999999999999993</v>
      </c>
      <c r="BM12" s="56">
        <v>7.3</v>
      </c>
      <c r="BN12" s="56">
        <v>7.5</v>
      </c>
      <c r="BO12" s="56">
        <v>6.8</v>
      </c>
      <c r="BP12" s="56">
        <v>8</v>
      </c>
      <c r="BQ12" s="56">
        <v>8.4</v>
      </c>
      <c r="BR12" s="56">
        <v>7.9</v>
      </c>
      <c r="BS12" s="56">
        <v>8</v>
      </c>
      <c r="BT12" s="56">
        <v>7.9</v>
      </c>
      <c r="BU12" s="56">
        <v>8.3000000000000007</v>
      </c>
      <c r="BV12" s="56">
        <v>8.3000000000000007</v>
      </c>
      <c r="BW12" s="56">
        <v>7.8</v>
      </c>
      <c r="BX12" s="56">
        <v>8.1</v>
      </c>
      <c r="BY12" s="56">
        <v>8.4</v>
      </c>
      <c r="BZ12" s="56">
        <v>8</v>
      </c>
      <c r="CA12" s="56">
        <v>7.6</v>
      </c>
      <c r="CB12" s="56">
        <v>8</v>
      </c>
      <c r="CC12" s="56">
        <v>6.8</v>
      </c>
      <c r="CD12" s="56">
        <v>7.9</v>
      </c>
      <c r="CE12" s="56">
        <v>7.4</v>
      </c>
      <c r="CF12" s="56">
        <v>8.4</v>
      </c>
      <c r="CG12" s="56">
        <v>7.5</v>
      </c>
      <c r="CH12" s="56">
        <v>7.9</v>
      </c>
      <c r="CI12" s="56">
        <v>7.7</v>
      </c>
      <c r="CJ12" s="56">
        <v>8.1999999999999993</v>
      </c>
      <c r="CK12" s="56">
        <v>8</v>
      </c>
      <c r="CL12" s="56">
        <v>8.1999999999999993</v>
      </c>
      <c r="CM12" s="56">
        <v>8</v>
      </c>
      <c r="CN12" s="56">
        <v>6.8</v>
      </c>
      <c r="CO12" s="56">
        <v>7.2</v>
      </c>
      <c r="CP12" s="56">
        <v>8.4</v>
      </c>
      <c r="CQ12" s="56">
        <v>7</v>
      </c>
      <c r="CR12" s="56">
        <v>8</v>
      </c>
      <c r="CS12" s="56">
        <v>8.1</v>
      </c>
      <c r="CT12" s="56">
        <v>8.3000000000000007</v>
      </c>
      <c r="CU12" s="56">
        <v>6.4</v>
      </c>
      <c r="CV12" s="56">
        <v>8.3000000000000007</v>
      </c>
      <c r="CW12" s="56">
        <v>8.4</v>
      </c>
      <c r="CX12" s="56">
        <v>7.9</v>
      </c>
      <c r="CY12" s="56">
        <v>8.4</v>
      </c>
      <c r="CZ12" s="58">
        <v>8.4</v>
      </c>
      <c r="DA12" s="56">
        <v>8.1999999999999993</v>
      </c>
      <c r="DB12" s="56">
        <v>8.3000000000000007</v>
      </c>
      <c r="DC12" s="56">
        <v>7.5</v>
      </c>
      <c r="DD12" s="56">
        <v>8.3000000000000007</v>
      </c>
      <c r="DE12" s="56">
        <v>8.4</v>
      </c>
      <c r="DF12" s="49">
        <v>8.1</v>
      </c>
      <c r="DH12" s="23" t="s">
        <v>163</v>
      </c>
      <c r="DI12" s="24">
        <v>0.26</v>
      </c>
      <c r="DJ12" s="30"/>
      <c r="DL12" s="30"/>
      <c r="DM12" s="33"/>
      <c r="DN12" s="22"/>
    </row>
    <row r="13" spans="1:138" ht="18" x14ac:dyDescent="0.35">
      <c r="A13" s="24">
        <v>10</v>
      </c>
      <c r="B13" s="26" t="s">
        <v>180</v>
      </c>
      <c r="C13" s="24">
        <v>46</v>
      </c>
      <c r="D13" s="28">
        <v>8</v>
      </c>
      <c r="E13" s="29">
        <f t="shared" si="0"/>
        <v>46.133333333333333</v>
      </c>
      <c r="F13" s="46"/>
      <c r="G13" s="169"/>
      <c r="H13" s="44" t="s">
        <v>145</v>
      </c>
      <c r="I13" s="42" t="s">
        <v>41</v>
      </c>
      <c r="J13" s="49">
        <v>23.5</v>
      </c>
      <c r="K13" s="49">
        <v>12.1</v>
      </c>
      <c r="L13" s="49">
        <v>16.2</v>
      </c>
      <c r="M13" s="49">
        <v>11.5</v>
      </c>
      <c r="N13" s="49">
        <v>15.7</v>
      </c>
      <c r="O13" s="49">
        <v>12.7</v>
      </c>
      <c r="P13" s="49">
        <v>14</v>
      </c>
      <c r="Q13" s="49">
        <v>12.2</v>
      </c>
      <c r="R13" s="49">
        <v>16.899999999999999</v>
      </c>
      <c r="S13" s="49">
        <v>21.3</v>
      </c>
      <c r="T13" s="49">
        <v>12.2</v>
      </c>
      <c r="U13" s="49">
        <v>12.1</v>
      </c>
      <c r="V13" s="49">
        <v>16.8</v>
      </c>
      <c r="W13" s="49">
        <v>15.6</v>
      </c>
      <c r="X13" s="49">
        <v>19.899999999999999</v>
      </c>
      <c r="Y13" s="49">
        <v>14.3</v>
      </c>
      <c r="Z13" s="49">
        <v>12.9</v>
      </c>
      <c r="AA13" s="49">
        <v>17.3</v>
      </c>
      <c r="AB13" s="49">
        <v>17.7</v>
      </c>
      <c r="AC13" s="49">
        <v>20.100000000000001</v>
      </c>
      <c r="AD13" s="49">
        <v>17</v>
      </c>
      <c r="AE13" s="49">
        <v>21.6</v>
      </c>
      <c r="AF13" s="49">
        <v>10.1</v>
      </c>
      <c r="AG13" s="49">
        <v>12.1</v>
      </c>
      <c r="AH13" s="49">
        <v>15.8</v>
      </c>
      <c r="AI13" s="49">
        <v>23.6</v>
      </c>
      <c r="AJ13" s="49">
        <v>21.6</v>
      </c>
      <c r="AK13" s="49">
        <v>19.8</v>
      </c>
      <c r="AL13" s="49">
        <v>22.1</v>
      </c>
      <c r="AM13" s="49">
        <v>14.2</v>
      </c>
      <c r="AN13" s="49">
        <v>18.2</v>
      </c>
      <c r="AO13" s="49">
        <v>16.2</v>
      </c>
      <c r="AP13" s="49">
        <v>17.600000000000001</v>
      </c>
      <c r="AQ13" s="49">
        <v>17</v>
      </c>
      <c r="AR13" s="49">
        <v>14.5</v>
      </c>
      <c r="AS13" s="56">
        <v>13.1</v>
      </c>
      <c r="AT13" s="56">
        <v>17.899999999999999</v>
      </c>
      <c r="AU13" s="56">
        <v>16.899999999999999</v>
      </c>
      <c r="AV13" s="56">
        <v>15.3</v>
      </c>
      <c r="AW13" s="56">
        <v>18.7</v>
      </c>
      <c r="AX13" s="56">
        <v>12.3</v>
      </c>
      <c r="AY13" s="56">
        <v>14.9</v>
      </c>
      <c r="AZ13" s="56">
        <v>18.7</v>
      </c>
      <c r="BA13" s="56">
        <v>16.7</v>
      </c>
      <c r="BB13" s="56">
        <v>20</v>
      </c>
      <c r="BC13" s="56">
        <v>14.5</v>
      </c>
      <c r="BD13" s="56">
        <v>16.7</v>
      </c>
      <c r="BE13" s="56">
        <v>20.3</v>
      </c>
      <c r="BF13" s="56">
        <v>13.9</v>
      </c>
      <c r="BG13" s="56">
        <v>15.5</v>
      </c>
      <c r="BH13" s="56">
        <v>16.100000000000001</v>
      </c>
      <c r="BI13" s="56">
        <v>15.1</v>
      </c>
      <c r="BJ13" s="56">
        <v>17.399999999999999</v>
      </c>
      <c r="BK13" s="56">
        <v>18.899999999999999</v>
      </c>
      <c r="BL13" s="56">
        <v>14.2</v>
      </c>
      <c r="BM13" s="56">
        <v>18.899999999999999</v>
      </c>
      <c r="BN13" s="56">
        <v>18.2</v>
      </c>
      <c r="BO13" s="56">
        <v>21.1</v>
      </c>
      <c r="BP13" s="56">
        <v>15.9</v>
      </c>
      <c r="BQ13" s="56">
        <v>12.2</v>
      </c>
      <c r="BR13" s="56">
        <v>16.5</v>
      </c>
      <c r="BS13" s="56">
        <v>15.6</v>
      </c>
      <c r="BT13" s="56">
        <v>16.5</v>
      </c>
      <c r="BU13" s="56">
        <v>12.8</v>
      </c>
      <c r="BV13" s="56">
        <v>12.7</v>
      </c>
      <c r="BW13" s="56">
        <v>17</v>
      </c>
      <c r="BX13" s="56">
        <v>14.9</v>
      </c>
      <c r="BY13" s="56">
        <v>11.6</v>
      </c>
      <c r="BZ13" s="56">
        <v>15.7</v>
      </c>
      <c r="CA13" s="56">
        <v>17.7</v>
      </c>
      <c r="CB13" s="56">
        <v>15.9</v>
      </c>
      <c r="CC13" s="56">
        <v>21.1</v>
      </c>
      <c r="CD13" s="56">
        <v>16.399999999999999</v>
      </c>
      <c r="CE13" s="56">
        <v>19.100000000000001</v>
      </c>
      <c r="CF13" s="56">
        <v>12.3</v>
      </c>
      <c r="CG13" s="56">
        <v>18.2</v>
      </c>
      <c r="CH13" s="56">
        <v>16.3</v>
      </c>
      <c r="CI13" s="56">
        <v>17.3</v>
      </c>
      <c r="CJ13" s="56">
        <v>14.6</v>
      </c>
      <c r="CK13" s="56">
        <v>15.2</v>
      </c>
      <c r="CL13" s="56">
        <v>14.4</v>
      </c>
      <c r="CM13" s="56">
        <v>15.5</v>
      </c>
      <c r="CN13" s="56">
        <v>20.9</v>
      </c>
      <c r="CO13" s="56">
        <v>19.399999999999999</v>
      </c>
      <c r="CP13" s="56">
        <v>12.8</v>
      </c>
      <c r="CQ13" s="56">
        <v>20.2</v>
      </c>
      <c r="CR13" s="56">
        <v>15.6</v>
      </c>
      <c r="CS13" s="56">
        <v>15.1</v>
      </c>
      <c r="CT13" s="56">
        <v>13.2</v>
      </c>
      <c r="CU13" s="56">
        <v>22.3</v>
      </c>
      <c r="CV13" s="56">
        <v>13.5</v>
      </c>
      <c r="CW13" s="56">
        <v>13.1</v>
      </c>
      <c r="CX13" s="56">
        <v>15.8</v>
      </c>
      <c r="CY13" s="56">
        <v>11.8</v>
      </c>
      <c r="CZ13" s="58">
        <v>12.1</v>
      </c>
      <c r="DA13" s="56">
        <v>13.8</v>
      </c>
      <c r="DB13" s="56">
        <v>13.6</v>
      </c>
      <c r="DC13" s="56">
        <v>18.3</v>
      </c>
      <c r="DD13" s="56">
        <v>13.1</v>
      </c>
      <c r="DE13" s="56">
        <v>12.3</v>
      </c>
      <c r="DF13" s="49">
        <v>14.8</v>
      </c>
      <c r="DH13" s="23" t="s">
        <v>164</v>
      </c>
      <c r="DI13" s="24">
        <v>0.13</v>
      </c>
      <c r="DJ13" s="30"/>
      <c r="DL13" s="30"/>
      <c r="DM13" s="33"/>
      <c r="DN13" s="22"/>
    </row>
    <row r="14" spans="1:138" ht="18" x14ac:dyDescent="0.35">
      <c r="A14" s="24">
        <v>11</v>
      </c>
      <c r="B14" s="24" t="s">
        <v>56</v>
      </c>
      <c r="C14" s="24">
        <v>41</v>
      </c>
      <c r="D14" s="28">
        <v>7</v>
      </c>
      <c r="E14" s="29">
        <f t="shared" si="0"/>
        <v>41.116666666666667</v>
      </c>
      <c r="F14" s="46"/>
      <c r="G14" s="169" t="s">
        <v>174</v>
      </c>
      <c r="H14" s="44" t="s">
        <v>146</v>
      </c>
      <c r="I14" s="42" t="s">
        <v>41</v>
      </c>
      <c r="J14" s="49">
        <v>5.4</v>
      </c>
      <c r="K14" s="49">
        <v>7.7</v>
      </c>
      <c r="L14" s="49">
        <v>6.9</v>
      </c>
      <c r="M14" s="49">
        <v>8</v>
      </c>
      <c r="N14" s="49">
        <v>7.1</v>
      </c>
      <c r="O14" s="49">
        <v>7.7</v>
      </c>
      <c r="P14" s="49">
        <v>7.7</v>
      </c>
      <c r="Q14" s="49">
        <v>7.8</v>
      </c>
      <c r="R14" s="49">
        <v>6.6</v>
      </c>
      <c r="S14" s="49">
        <v>5.9</v>
      </c>
      <c r="T14" s="49">
        <v>7.8</v>
      </c>
      <c r="U14" s="49">
        <v>7.9</v>
      </c>
      <c r="V14" s="49">
        <v>6.8</v>
      </c>
      <c r="W14" s="49">
        <v>7.1</v>
      </c>
      <c r="X14" s="49">
        <v>6.4</v>
      </c>
      <c r="Y14" s="49">
        <v>7.4</v>
      </c>
      <c r="Z14" s="49">
        <v>7.8</v>
      </c>
      <c r="AA14" s="49">
        <v>6.5</v>
      </c>
      <c r="AB14" s="49">
        <v>6.9</v>
      </c>
      <c r="AC14" s="49">
        <v>6.2</v>
      </c>
      <c r="AD14" s="49">
        <v>6.8</v>
      </c>
      <c r="AE14" s="49">
        <v>6.1</v>
      </c>
      <c r="AF14" s="49">
        <v>8.1</v>
      </c>
      <c r="AG14" s="49">
        <v>7.9</v>
      </c>
      <c r="AH14" s="49">
        <v>7.2</v>
      </c>
      <c r="AI14" s="49">
        <v>5.8</v>
      </c>
      <c r="AJ14" s="49">
        <v>6.1</v>
      </c>
      <c r="AK14" s="49">
        <v>6.5</v>
      </c>
      <c r="AL14" s="49">
        <v>6</v>
      </c>
      <c r="AM14" s="49">
        <v>7.5</v>
      </c>
      <c r="AN14" s="49">
        <v>6.8</v>
      </c>
      <c r="AO14" s="49">
        <v>7</v>
      </c>
      <c r="AP14" s="49">
        <v>6.7</v>
      </c>
      <c r="AQ14" s="49">
        <v>6.9</v>
      </c>
      <c r="AR14" s="49">
        <v>7.4</v>
      </c>
      <c r="AS14" s="56">
        <v>7.7</v>
      </c>
      <c r="AT14" s="56">
        <v>6.6</v>
      </c>
      <c r="AU14" s="56">
        <v>6.8</v>
      </c>
      <c r="AV14" s="56">
        <v>7.2</v>
      </c>
      <c r="AW14" s="56">
        <v>6.8</v>
      </c>
      <c r="AX14" s="56">
        <v>7.9</v>
      </c>
      <c r="AY14" s="56">
        <v>7.4</v>
      </c>
      <c r="AZ14" s="56">
        <v>6.5</v>
      </c>
      <c r="BA14" s="56">
        <v>6.9</v>
      </c>
      <c r="BB14" s="56">
        <v>6.2</v>
      </c>
      <c r="BC14" s="56">
        <v>7.3</v>
      </c>
      <c r="BD14" s="56">
        <v>7.1</v>
      </c>
      <c r="BE14" s="56">
        <v>6.6</v>
      </c>
      <c r="BF14" s="56">
        <v>7.5</v>
      </c>
      <c r="BG14" s="56">
        <v>7.3</v>
      </c>
      <c r="BH14" s="56">
        <v>7.2</v>
      </c>
      <c r="BI14" s="56">
        <v>7.1</v>
      </c>
      <c r="BJ14" s="56">
        <v>6.8</v>
      </c>
      <c r="BK14" s="56">
        <v>6.6</v>
      </c>
      <c r="BL14" s="56">
        <v>7.4</v>
      </c>
      <c r="BM14" s="56">
        <v>6.2</v>
      </c>
      <c r="BN14" s="56">
        <v>6.3</v>
      </c>
      <c r="BO14" s="56">
        <v>6.3</v>
      </c>
      <c r="BP14" s="56">
        <v>7.1</v>
      </c>
      <c r="BQ14" s="56">
        <v>8</v>
      </c>
      <c r="BR14" s="56">
        <v>6.9</v>
      </c>
      <c r="BS14" s="56">
        <v>7.1</v>
      </c>
      <c r="BT14" s="56">
        <v>6.9</v>
      </c>
      <c r="BU14" s="56">
        <v>7.9</v>
      </c>
      <c r="BV14" s="56">
        <v>7.5</v>
      </c>
      <c r="BW14" s="56">
        <v>6.8</v>
      </c>
      <c r="BX14" s="56">
        <v>7.1</v>
      </c>
      <c r="BY14" s="56">
        <v>7.7</v>
      </c>
      <c r="BZ14" s="56">
        <v>7.3</v>
      </c>
      <c r="CA14" s="56">
        <v>7</v>
      </c>
      <c r="CB14" s="56">
        <v>7.2</v>
      </c>
      <c r="CC14" s="56">
        <v>6.4</v>
      </c>
      <c r="CD14" s="56">
        <v>7.1</v>
      </c>
      <c r="CE14" s="56">
        <v>6.9</v>
      </c>
      <c r="CF14" s="56">
        <v>7.7</v>
      </c>
      <c r="CG14" s="56">
        <v>6.6</v>
      </c>
      <c r="CH14" s="56">
        <v>7</v>
      </c>
      <c r="CI14" s="56">
        <v>6.9</v>
      </c>
      <c r="CJ14" s="56">
        <v>7.6</v>
      </c>
      <c r="CK14" s="56">
        <v>7.4</v>
      </c>
      <c r="CL14" s="56">
        <v>7.8</v>
      </c>
      <c r="CM14" s="56">
        <v>7</v>
      </c>
      <c r="CN14" s="56">
        <v>6.3</v>
      </c>
      <c r="CO14" s="56">
        <v>6.1</v>
      </c>
      <c r="CP14" s="56">
        <v>7.6</v>
      </c>
      <c r="CQ14" s="56">
        <v>6.1</v>
      </c>
      <c r="CR14" s="56">
        <v>7.1</v>
      </c>
      <c r="CS14" s="56">
        <v>7.3</v>
      </c>
      <c r="CT14" s="56">
        <v>7.6</v>
      </c>
      <c r="CU14" s="56">
        <v>5.8</v>
      </c>
      <c r="CV14" s="56">
        <v>7.6</v>
      </c>
      <c r="CW14" s="56">
        <v>7.7</v>
      </c>
      <c r="CX14" s="56">
        <v>7.2</v>
      </c>
      <c r="CY14" s="56">
        <v>7.9</v>
      </c>
      <c r="CZ14" s="58">
        <v>8</v>
      </c>
      <c r="DA14" s="56">
        <v>7.7</v>
      </c>
      <c r="DB14" s="56">
        <v>7.4</v>
      </c>
      <c r="DC14" s="56">
        <v>6.4</v>
      </c>
      <c r="DD14" s="56">
        <v>7.9</v>
      </c>
      <c r="DE14" s="56">
        <v>8</v>
      </c>
      <c r="DF14" s="49">
        <v>7.4</v>
      </c>
      <c r="DH14" s="23" t="s">
        <v>165</v>
      </c>
      <c r="DI14" s="24">
        <v>0.2</v>
      </c>
      <c r="DJ14" s="30"/>
      <c r="DL14" s="30"/>
      <c r="DM14" s="33"/>
      <c r="DN14" s="22"/>
    </row>
    <row r="15" spans="1:138" ht="18" x14ac:dyDescent="0.35">
      <c r="A15" s="24">
        <v>12</v>
      </c>
      <c r="B15" s="24" t="s">
        <v>55</v>
      </c>
      <c r="C15" s="24">
        <v>45</v>
      </c>
      <c r="D15" s="28">
        <v>41</v>
      </c>
      <c r="E15" s="29">
        <f t="shared" si="0"/>
        <v>45.68333333333333</v>
      </c>
      <c r="F15" s="46"/>
      <c r="G15" s="169"/>
      <c r="H15" s="44" t="s">
        <v>145</v>
      </c>
      <c r="I15" s="42" t="s">
        <v>41</v>
      </c>
      <c r="J15" s="49">
        <v>24.2</v>
      </c>
      <c r="K15" s="49">
        <v>14.9</v>
      </c>
      <c r="L15" s="49">
        <v>19.100000000000001</v>
      </c>
      <c r="M15" s="49">
        <v>13</v>
      </c>
      <c r="N15" s="49">
        <v>18.5</v>
      </c>
      <c r="O15" s="49">
        <v>15.9</v>
      </c>
      <c r="P15" s="49">
        <v>15.4</v>
      </c>
      <c r="Q15" s="49">
        <v>14.7</v>
      </c>
      <c r="R15" s="49">
        <v>20.3</v>
      </c>
      <c r="S15" s="49">
        <v>22.7</v>
      </c>
      <c r="T15" s="49">
        <v>14.6</v>
      </c>
      <c r="U15" s="49">
        <v>14</v>
      </c>
      <c r="V15" s="49">
        <v>19.600000000000001</v>
      </c>
      <c r="W15" s="49">
        <v>18.5</v>
      </c>
      <c r="X15" s="49">
        <v>21</v>
      </c>
      <c r="Y15" s="49">
        <v>17</v>
      </c>
      <c r="Z15" s="49">
        <v>14.7</v>
      </c>
      <c r="AA15" s="49">
        <v>20.8</v>
      </c>
      <c r="AB15" s="49">
        <v>19.600000000000001</v>
      </c>
      <c r="AC15" s="49">
        <v>21.6</v>
      </c>
      <c r="AD15" s="49">
        <v>19.600000000000001</v>
      </c>
      <c r="AE15" s="49">
        <v>22.1</v>
      </c>
      <c r="AF15" s="49">
        <v>12.2</v>
      </c>
      <c r="AG15" s="49">
        <v>14.2</v>
      </c>
      <c r="AH15" s="49">
        <v>17.8</v>
      </c>
      <c r="AI15" s="49">
        <v>23.1</v>
      </c>
      <c r="AJ15" s="49">
        <v>22.1</v>
      </c>
      <c r="AK15" s="49">
        <v>20.9</v>
      </c>
      <c r="AL15" s="49">
        <v>22.6</v>
      </c>
      <c r="AM15" s="49">
        <v>16.399999999999999</v>
      </c>
      <c r="AN15" s="49">
        <v>19.8</v>
      </c>
      <c r="AO15" s="49">
        <v>18.600000000000001</v>
      </c>
      <c r="AP15" s="49">
        <v>19.899999999999999</v>
      </c>
      <c r="AQ15" s="49">
        <v>19</v>
      </c>
      <c r="AR15" s="49">
        <v>17.399999999999999</v>
      </c>
      <c r="AS15" s="56">
        <v>15.3</v>
      </c>
      <c r="AT15" s="56">
        <v>20.5</v>
      </c>
      <c r="AU15" s="56">
        <v>19.600000000000001</v>
      </c>
      <c r="AV15" s="56">
        <v>18</v>
      </c>
      <c r="AW15" s="56">
        <v>19.8</v>
      </c>
      <c r="AX15" s="56">
        <v>14.2</v>
      </c>
      <c r="AY15" s="56">
        <v>17.100000000000001</v>
      </c>
      <c r="AZ15" s="56">
        <v>20.7</v>
      </c>
      <c r="BA15" s="56">
        <v>19.3</v>
      </c>
      <c r="BB15" s="56">
        <v>21.7</v>
      </c>
      <c r="BC15" s="56">
        <v>17.399999999999999</v>
      </c>
      <c r="BD15" s="56">
        <v>18.3</v>
      </c>
      <c r="BE15" s="56">
        <v>20.6</v>
      </c>
      <c r="BF15" s="56">
        <v>16.5</v>
      </c>
      <c r="BG15" s="56">
        <v>17.399999999999999</v>
      </c>
      <c r="BH15" s="56">
        <v>17.8</v>
      </c>
      <c r="BI15" s="56">
        <v>18.3</v>
      </c>
      <c r="BJ15" s="56">
        <v>19.7</v>
      </c>
      <c r="BK15" s="56">
        <v>20.6</v>
      </c>
      <c r="BL15" s="56">
        <v>16.899999999999999</v>
      </c>
      <c r="BM15" s="56">
        <v>21.8</v>
      </c>
      <c r="BN15" s="56">
        <v>21.3</v>
      </c>
      <c r="BO15" s="56">
        <v>21.6</v>
      </c>
      <c r="BP15" s="56">
        <v>18.399999999999999</v>
      </c>
      <c r="BQ15" s="56">
        <v>13.5</v>
      </c>
      <c r="BR15" s="56">
        <v>19.2</v>
      </c>
      <c r="BS15" s="56">
        <v>18.399999999999999</v>
      </c>
      <c r="BT15" s="56">
        <v>19.100000000000001</v>
      </c>
      <c r="BU15" s="56">
        <v>14.1</v>
      </c>
      <c r="BV15" s="56">
        <v>16.2</v>
      </c>
      <c r="BW15" s="56">
        <v>19.5</v>
      </c>
      <c r="BX15" s="56">
        <v>18.3</v>
      </c>
      <c r="BY15" s="56">
        <v>15.3</v>
      </c>
      <c r="BZ15" s="56">
        <v>17.5</v>
      </c>
      <c r="CA15" s="56">
        <v>19</v>
      </c>
      <c r="CB15" s="56">
        <v>18.100000000000001</v>
      </c>
      <c r="CC15" s="56">
        <v>21.1</v>
      </c>
      <c r="CD15" s="56">
        <v>18.3</v>
      </c>
      <c r="CE15" s="56">
        <v>19.8</v>
      </c>
      <c r="CF15" s="56">
        <v>15.6</v>
      </c>
      <c r="CG15" s="56">
        <v>20.5</v>
      </c>
      <c r="CH15" s="56">
        <v>18.7</v>
      </c>
      <c r="CI15" s="56">
        <v>19</v>
      </c>
      <c r="CJ15" s="56">
        <v>16.2</v>
      </c>
      <c r="CK15" s="56">
        <v>17</v>
      </c>
      <c r="CL15" s="56">
        <v>14.6</v>
      </c>
      <c r="CM15" s="56">
        <v>18.8</v>
      </c>
      <c r="CN15" s="56">
        <v>21.6</v>
      </c>
      <c r="CO15" s="56">
        <v>22</v>
      </c>
      <c r="CP15" s="56">
        <v>16.100000000000001</v>
      </c>
      <c r="CQ15" s="56">
        <v>22</v>
      </c>
      <c r="CR15" s="56">
        <v>18.600000000000001</v>
      </c>
      <c r="CS15" s="56">
        <v>17.3</v>
      </c>
      <c r="CT15" s="56">
        <v>15.9</v>
      </c>
      <c r="CU15" s="56">
        <v>23.1</v>
      </c>
      <c r="CV15" s="56">
        <v>16.399999999999999</v>
      </c>
      <c r="CW15" s="56">
        <v>15.6</v>
      </c>
      <c r="CX15" s="56">
        <v>17.3</v>
      </c>
      <c r="CY15" s="56">
        <v>14.1</v>
      </c>
      <c r="CZ15" s="58">
        <v>14</v>
      </c>
      <c r="DA15" s="56">
        <v>15.5</v>
      </c>
      <c r="DB15" s="56">
        <v>17</v>
      </c>
      <c r="DC15" s="56">
        <v>20.7</v>
      </c>
      <c r="DD15" s="56">
        <v>14.2</v>
      </c>
      <c r="DE15" s="56">
        <v>13.6</v>
      </c>
      <c r="DF15" s="49">
        <v>17.399999999999999</v>
      </c>
      <c r="DH15" s="23" t="s">
        <v>166</v>
      </c>
      <c r="DI15" s="24">
        <v>0.27</v>
      </c>
      <c r="DJ15" s="30"/>
      <c r="DL15" s="30"/>
      <c r="DM15" s="33"/>
      <c r="DN15" s="22"/>
    </row>
    <row r="16" spans="1:138" ht="18" x14ac:dyDescent="0.35">
      <c r="A16" s="24">
        <v>13</v>
      </c>
      <c r="B16" s="24" t="s">
        <v>57</v>
      </c>
      <c r="C16" s="24">
        <v>44</v>
      </c>
      <c r="D16" s="28">
        <v>29</v>
      </c>
      <c r="E16" s="29">
        <f t="shared" si="0"/>
        <v>44.483333333333334</v>
      </c>
      <c r="F16" s="46"/>
      <c r="G16" s="169" t="s">
        <v>175</v>
      </c>
      <c r="H16" s="44" t="s">
        <v>146</v>
      </c>
      <c r="I16" s="42" t="s">
        <v>41</v>
      </c>
      <c r="J16" s="49">
        <v>4.8</v>
      </c>
      <c r="K16" s="49">
        <v>7</v>
      </c>
      <c r="L16" s="49">
        <v>6.4</v>
      </c>
      <c r="M16" s="49">
        <v>7.1</v>
      </c>
      <c r="N16" s="49">
        <v>6.3</v>
      </c>
      <c r="O16" s="49">
        <v>7</v>
      </c>
      <c r="P16" s="49">
        <v>7</v>
      </c>
      <c r="Q16" s="49">
        <v>7.1</v>
      </c>
      <c r="R16" s="49">
        <v>6</v>
      </c>
      <c r="S16" s="49">
        <v>5.4</v>
      </c>
      <c r="T16" s="49">
        <v>6.9</v>
      </c>
      <c r="U16" s="49">
        <v>7</v>
      </c>
      <c r="V16" s="49">
        <v>6.3</v>
      </c>
      <c r="W16" s="49">
        <v>6.6</v>
      </c>
      <c r="X16" s="49">
        <v>6</v>
      </c>
      <c r="Y16" s="49">
        <v>6.7</v>
      </c>
      <c r="Z16" s="49">
        <v>6.9</v>
      </c>
      <c r="AA16" s="49">
        <v>6.2</v>
      </c>
      <c r="AB16" s="49">
        <v>6.2</v>
      </c>
      <c r="AC16" s="49">
        <v>5.9</v>
      </c>
      <c r="AD16" s="49">
        <v>6.4</v>
      </c>
      <c r="AE16" s="49">
        <v>5.6</v>
      </c>
      <c r="AF16" s="49">
        <v>7.2</v>
      </c>
      <c r="AG16" s="49">
        <v>7</v>
      </c>
      <c r="AH16" s="49">
        <v>6.7</v>
      </c>
      <c r="AI16" s="49">
        <v>5.2</v>
      </c>
      <c r="AJ16" s="49">
        <v>5.6</v>
      </c>
      <c r="AK16" s="49">
        <v>5.6</v>
      </c>
      <c r="AL16" s="49">
        <v>5.4</v>
      </c>
      <c r="AM16" s="49">
        <v>7</v>
      </c>
      <c r="AN16" s="49">
        <v>6.2</v>
      </c>
      <c r="AO16" s="49">
        <v>6.5</v>
      </c>
      <c r="AP16" s="49">
        <v>6.3</v>
      </c>
      <c r="AQ16" s="49">
        <v>6.4</v>
      </c>
      <c r="AR16" s="49">
        <v>6.8</v>
      </c>
      <c r="AS16" s="56">
        <v>6.7</v>
      </c>
      <c r="AT16" s="56">
        <v>6.1</v>
      </c>
      <c r="AU16" s="56">
        <v>6.5</v>
      </c>
      <c r="AV16" s="56">
        <v>6.6</v>
      </c>
      <c r="AW16" s="56">
        <v>6</v>
      </c>
      <c r="AX16" s="56">
        <v>7</v>
      </c>
      <c r="AY16" s="56">
        <v>6.8</v>
      </c>
      <c r="AZ16" s="56">
        <v>6</v>
      </c>
      <c r="BA16" s="56">
        <v>6.4</v>
      </c>
      <c r="BB16" s="56">
        <v>5.9</v>
      </c>
      <c r="BC16" s="56">
        <v>6.7</v>
      </c>
      <c r="BD16" s="56">
        <v>6.5</v>
      </c>
      <c r="BE16" s="56">
        <v>6</v>
      </c>
      <c r="BF16" s="56">
        <v>6.9</v>
      </c>
      <c r="BG16" s="56">
        <v>6.8</v>
      </c>
      <c r="BH16" s="56">
        <v>6.8</v>
      </c>
      <c r="BI16" s="56">
        <v>6.6</v>
      </c>
      <c r="BJ16" s="56">
        <v>6.2</v>
      </c>
      <c r="BK16" s="56">
        <v>6</v>
      </c>
      <c r="BL16" s="56">
        <v>6.8</v>
      </c>
      <c r="BM16" s="56">
        <v>6.1</v>
      </c>
      <c r="BN16" s="56">
        <v>6.1</v>
      </c>
      <c r="BO16" s="56">
        <v>5.6</v>
      </c>
      <c r="BP16" s="56">
        <v>6.6</v>
      </c>
      <c r="BQ16" s="56">
        <v>7</v>
      </c>
      <c r="BR16" s="56">
        <v>6.5</v>
      </c>
      <c r="BS16" s="56">
        <v>6.6</v>
      </c>
      <c r="BT16" s="56">
        <v>6.4</v>
      </c>
      <c r="BU16" s="56">
        <v>6.8</v>
      </c>
      <c r="BV16" s="56">
        <v>6.8</v>
      </c>
      <c r="BW16" s="56">
        <v>6.4</v>
      </c>
      <c r="BX16" s="56">
        <v>6.4</v>
      </c>
      <c r="BY16" s="56">
        <v>6.9</v>
      </c>
      <c r="BZ16" s="56">
        <v>6.8</v>
      </c>
      <c r="CA16" s="56">
        <v>6.5</v>
      </c>
      <c r="CB16" s="56">
        <v>6.6</v>
      </c>
      <c r="CC16" s="56">
        <v>5.8</v>
      </c>
      <c r="CD16" s="56">
        <v>6.7</v>
      </c>
      <c r="CE16" s="56">
        <v>6</v>
      </c>
      <c r="CF16" s="56">
        <v>7</v>
      </c>
      <c r="CG16" s="56">
        <v>6.2</v>
      </c>
      <c r="CH16" s="56">
        <v>6.4</v>
      </c>
      <c r="CI16" s="56">
        <v>6.3</v>
      </c>
      <c r="CJ16" s="56">
        <v>6.9</v>
      </c>
      <c r="CK16" s="56">
        <v>6.7</v>
      </c>
      <c r="CL16" s="56">
        <v>6.7</v>
      </c>
      <c r="CM16" s="56">
        <v>6.6</v>
      </c>
      <c r="CN16" s="56">
        <v>5.5</v>
      </c>
      <c r="CO16" s="56">
        <v>6</v>
      </c>
      <c r="CP16" s="56">
        <v>6.9</v>
      </c>
      <c r="CQ16" s="56">
        <v>5.9</v>
      </c>
      <c r="CR16" s="56">
        <v>6.3</v>
      </c>
      <c r="CS16" s="56">
        <v>6.7</v>
      </c>
      <c r="CT16" s="56">
        <v>7</v>
      </c>
      <c r="CU16" s="56">
        <v>5.0999999999999996</v>
      </c>
      <c r="CV16" s="56">
        <v>6.8</v>
      </c>
      <c r="CW16" s="56">
        <v>6.7</v>
      </c>
      <c r="CX16" s="56">
        <v>6.5</v>
      </c>
      <c r="CY16" s="56">
        <v>6.9</v>
      </c>
      <c r="CZ16" s="58">
        <v>7</v>
      </c>
      <c r="DA16" s="56">
        <v>7</v>
      </c>
      <c r="DB16" s="56">
        <v>6.8</v>
      </c>
      <c r="DC16" s="56">
        <v>6.2</v>
      </c>
      <c r="DD16" s="56">
        <v>6.8</v>
      </c>
      <c r="DE16" s="56">
        <v>7</v>
      </c>
      <c r="DF16" s="49">
        <v>6.6</v>
      </c>
      <c r="DH16" s="23" t="s">
        <v>167</v>
      </c>
      <c r="DI16" s="24">
        <v>0.6</v>
      </c>
      <c r="DJ16" s="30"/>
      <c r="DL16" s="30"/>
      <c r="DM16" s="33"/>
      <c r="DN16" s="22"/>
    </row>
    <row r="17" spans="1:118" ht="18" x14ac:dyDescent="0.35">
      <c r="A17" s="24">
        <v>14</v>
      </c>
      <c r="B17" s="24" t="s">
        <v>60</v>
      </c>
      <c r="C17" s="24">
        <v>46</v>
      </c>
      <c r="D17" s="28">
        <v>29</v>
      </c>
      <c r="E17" s="29">
        <f t="shared" si="0"/>
        <v>46.483333333333334</v>
      </c>
      <c r="F17" s="46"/>
      <c r="G17" s="169"/>
      <c r="H17" s="44" t="s">
        <v>145</v>
      </c>
      <c r="I17" s="42" t="s">
        <v>41</v>
      </c>
      <c r="J17" s="49">
        <v>22.2</v>
      </c>
      <c r="K17" s="49">
        <v>11</v>
      </c>
      <c r="L17" s="49">
        <v>15.6</v>
      </c>
      <c r="M17" s="49">
        <v>10.4</v>
      </c>
      <c r="N17" s="49">
        <v>16</v>
      </c>
      <c r="O17" s="49">
        <v>13.1</v>
      </c>
      <c r="P17" s="49">
        <v>12.2</v>
      </c>
      <c r="Q17" s="49">
        <v>10.7</v>
      </c>
      <c r="R17" s="49">
        <v>17.899999999999999</v>
      </c>
      <c r="S17" s="49">
        <v>19.8</v>
      </c>
      <c r="T17" s="49">
        <v>11.9</v>
      </c>
      <c r="U17" s="49">
        <v>10.8</v>
      </c>
      <c r="V17" s="49">
        <v>16.600000000000001</v>
      </c>
      <c r="W17" s="49">
        <v>14.4</v>
      </c>
      <c r="X17" s="49">
        <v>17.899999999999999</v>
      </c>
      <c r="Y17" s="49">
        <v>13.5</v>
      </c>
      <c r="Z17" s="49">
        <v>11.6</v>
      </c>
      <c r="AA17" s="49">
        <v>17.7</v>
      </c>
      <c r="AB17" s="49">
        <v>16.899999999999999</v>
      </c>
      <c r="AC17" s="49">
        <v>18.3</v>
      </c>
      <c r="AD17" s="49">
        <v>16.100000000000001</v>
      </c>
      <c r="AE17" s="49">
        <v>19.8</v>
      </c>
      <c r="AF17" s="49">
        <v>8.8000000000000007</v>
      </c>
      <c r="AG17" s="49">
        <v>11</v>
      </c>
      <c r="AH17" s="49">
        <v>13.5</v>
      </c>
      <c r="AI17" s="49">
        <v>20.8</v>
      </c>
      <c r="AJ17" s="49">
        <v>19.8</v>
      </c>
      <c r="AK17" s="49">
        <v>19.600000000000001</v>
      </c>
      <c r="AL17" s="49">
        <v>20.5</v>
      </c>
      <c r="AM17" s="49">
        <v>12.2</v>
      </c>
      <c r="AN17" s="49">
        <v>17</v>
      </c>
      <c r="AO17" s="49">
        <v>15.2</v>
      </c>
      <c r="AP17" s="49">
        <v>15.9</v>
      </c>
      <c r="AQ17" s="49">
        <v>15.9</v>
      </c>
      <c r="AR17" s="49">
        <v>13.7</v>
      </c>
      <c r="AS17" s="56">
        <v>13.4</v>
      </c>
      <c r="AT17" s="56">
        <v>17.2</v>
      </c>
      <c r="AU17" s="56">
        <v>15.2</v>
      </c>
      <c r="AV17" s="56">
        <v>15.1</v>
      </c>
      <c r="AW17" s="56">
        <v>18.3</v>
      </c>
      <c r="AX17" s="56">
        <v>11.2</v>
      </c>
      <c r="AY17" s="56">
        <v>12.8</v>
      </c>
      <c r="AZ17" s="56">
        <v>18</v>
      </c>
      <c r="BA17" s="56">
        <v>15.9</v>
      </c>
      <c r="BB17" s="56">
        <v>18.100000000000001</v>
      </c>
      <c r="BC17" s="56">
        <v>13.8</v>
      </c>
      <c r="BD17" s="56">
        <v>15.2</v>
      </c>
      <c r="BE17" s="56">
        <v>18.600000000000001</v>
      </c>
      <c r="BF17" s="56">
        <v>12.5</v>
      </c>
      <c r="BG17" s="56">
        <v>13</v>
      </c>
      <c r="BH17" s="56">
        <v>13.5</v>
      </c>
      <c r="BI17" s="56">
        <v>14.4</v>
      </c>
      <c r="BJ17" s="56">
        <v>17</v>
      </c>
      <c r="BK17" s="56">
        <v>17.899999999999999</v>
      </c>
      <c r="BL17" s="56">
        <v>12.8</v>
      </c>
      <c r="BM17" s="56">
        <v>17.8</v>
      </c>
      <c r="BN17" s="56">
        <v>17.899999999999999</v>
      </c>
      <c r="BO17" s="56">
        <v>19.600000000000001</v>
      </c>
      <c r="BP17" s="56">
        <v>14.1</v>
      </c>
      <c r="BQ17" s="56">
        <v>11.7</v>
      </c>
      <c r="BR17" s="56">
        <v>15.7</v>
      </c>
      <c r="BS17" s="56">
        <v>14.9</v>
      </c>
      <c r="BT17" s="56">
        <v>15.6</v>
      </c>
      <c r="BU17" s="56">
        <v>12.8</v>
      </c>
      <c r="BV17" s="56">
        <v>13.4</v>
      </c>
      <c r="BW17" s="56">
        <v>15.4</v>
      </c>
      <c r="BX17" s="56">
        <v>15.4</v>
      </c>
      <c r="BY17" s="56">
        <v>12.8</v>
      </c>
      <c r="BZ17" s="56">
        <v>13.1</v>
      </c>
      <c r="CA17" s="56">
        <v>15.9</v>
      </c>
      <c r="CB17" s="56">
        <v>14.4</v>
      </c>
      <c r="CC17" s="56">
        <v>19.100000000000001</v>
      </c>
      <c r="CD17" s="56">
        <v>14.1</v>
      </c>
      <c r="CE17" s="56">
        <v>18.8</v>
      </c>
      <c r="CF17" s="56">
        <v>12.8</v>
      </c>
      <c r="CG17" s="56">
        <v>17.100000000000001</v>
      </c>
      <c r="CH17" s="56">
        <v>15.5</v>
      </c>
      <c r="CI17" s="56">
        <v>15.7</v>
      </c>
      <c r="CJ17" s="56">
        <v>13.8</v>
      </c>
      <c r="CK17" s="56">
        <v>13.7</v>
      </c>
      <c r="CL17" s="56">
        <v>13.4</v>
      </c>
      <c r="CM17" s="56">
        <v>14.7</v>
      </c>
      <c r="CN17" s="56">
        <v>20.2</v>
      </c>
      <c r="CO17" s="56">
        <v>18</v>
      </c>
      <c r="CP17" s="56">
        <v>12.5</v>
      </c>
      <c r="CQ17" s="56">
        <v>18.3</v>
      </c>
      <c r="CR17" s="56">
        <v>16.2</v>
      </c>
      <c r="CS17" s="56">
        <v>13.5</v>
      </c>
      <c r="CT17" s="56">
        <v>11.5</v>
      </c>
      <c r="CU17" s="56">
        <v>21.2</v>
      </c>
      <c r="CV17" s="56">
        <v>13.9</v>
      </c>
      <c r="CW17" s="56">
        <v>13.3</v>
      </c>
      <c r="CX17" s="56">
        <v>14.6</v>
      </c>
      <c r="CY17" s="56">
        <v>12</v>
      </c>
      <c r="CZ17" s="58">
        <v>11.2</v>
      </c>
      <c r="DA17" s="56">
        <v>11.3</v>
      </c>
      <c r="DB17" s="56">
        <v>12.8</v>
      </c>
      <c r="DC17" s="56">
        <v>15.9</v>
      </c>
      <c r="DD17" s="56">
        <v>12.7</v>
      </c>
      <c r="DE17" s="56">
        <v>11.6</v>
      </c>
      <c r="DF17" s="49">
        <v>14.7</v>
      </c>
      <c r="DJ17" s="22"/>
      <c r="DL17" s="22"/>
      <c r="DM17" s="33"/>
      <c r="DN17" s="22"/>
    </row>
    <row r="18" spans="1:118" ht="18" x14ac:dyDescent="0.35">
      <c r="A18" s="24">
        <v>15</v>
      </c>
      <c r="B18" s="24" t="s">
        <v>59</v>
      </c>
      <c r="C18" s="24">
        <v>45</v>
      </c>
      <c r="D18" s="28">
        <v>32</v>
      </c>
      <c r="E18" s="29">
        <f t="shared" si="0"/>
        <v>45.533333333333331</v>
      </c>
      <c r="F18" s="46"/>
      <c r="G18" s="169" t="s">
        <v>176</v>
      </c>
      <c r="H18" s="44" t="s">
        <v>146</v>
      </c>
      <c r="I18" s="42" t="s">
        <v>41</v>
      </c>
      <c r="J18" s="49">
        <v>4.9000000000000004</v>
      </c>
      <c r="K18" s="49">
        <v>5.6</v>
      </c>
      <c r="L18" s="49">
        <v>5.4</v>
      </c>
      <c r="M18" s="49">
        <v>5.6</v>
      </c>
      <c r="N18" s="49">
        <v>5.5</v>
      </c>
      <c r="O18" s="49">
        <v>5.7</v>
      </c>
      <c r="P18" s="49">
        <v>5.6</v>
      </c>
      <c r="Q18" s="49">
        <v>5.6</v>
      </c>
      <c r="R18" s="49">
        <v>5.4</v>
      </c>
      <c r="S18" s="49">
        <v>5</v>
      </c>
      <c r="T18" s="49">
        <v>5.5</v>
      </c>
      <c r="U18" s="49">
        <v>5.5</v>
      </c>
      <c r="V18" s="49">
        <v>5.7</v>
      </c>
      <c r="W18" s="49">
        <v>5.4</v>
      </c>
      <c r="X18" s="49">
        <v>5.3</v>
      </c>
      <c r="Y18" s="49">
        <v>5.4</v>
      </c>
      <c r="Z18" s="49">
        <v>5.4</v>
      </c>
      <c r="AA18" s="49">
        <v>5.7</v>
      </c>
      <c r="AB18" s="49">
        <v>5.4</v>
      </c>
      <c r="AC18" s="49">
        <v>5.2</v>
      </c>
      <c r="AD18" s="49">
        <v>5.3</v>
      </c>
      <c r="AE18" s="49">
        <v>5.4</v>
      </c>
      <c r="AF18" s="49">
        <v>5.7</v>
      </c>
      <c r="AG18" s="49">
        <v>5.6</v>
      </c>
      <c r="AH18" s="49">
        <v>5.5</v>
      </c>
      <c r="AI18" s="49">
        <v>4.9000000000000004</v>
      </c>
      <c r="AJ18" s="49">
        <v>5.4</v>
      </c>
      <c r="AK18" s="49">
        <v>5.9</v>
      </c>
      <c r="AL18" s="49">
        <v>5.3</v>
      </c>
      <c r="AM18" s="49">
        <v>5.4</v>
      </c>
      <c r="AN18" s="49">
        <v>5.3</v>
      </c>
      <c r="AO18" s="49">
        <v>5.3</v>
      </c>
      <c r="AP18" s="49">
        <v>5.2</v>
      </c>
      <c r="AQ18" s="49">
        <v>5.4</v>
      </c>
      <c r="AR18" s="49">
        <v>5.5</v>
      </c>
      <c r="AS18" s="56">
        <v>5.5</v>
      </c>
      <c r="AT18" s="56">
        <v>5.4</v>
      </c>
      <c r="AU18" s="56">
        <v>5.3</v>
      </c>
      <c r="AV18" s="56">
        <v>5.6</v>
      </c>
      <c r="AW18" s="56">
        <v>5.6</v>
      </c>
      <c r="AX18" s="56">
        <v>5.6</v>
      </c>
      <c r="AY18" s="56">
        <v>5.6</v>
      </c>
      <c r="AZ18" s="56">
        <v>5.4</v>
      </c>
      <c r="BA18" s="56">
        <v>5.3</v>
      </c>
      <c r="BB18" s="56">
        <v>5.2</v>
      </c>
      <c r="BC18" s="56">
        <v>5.5</v>
      </c>
      <c r="BD18" s="56">
        <v>5.4</v>
      </c>
      <c r="BE18" s="56">
        <v>5.4</v>
      </c>
      <c r="BF18" s="56">
        <v>5.6</v>
      </c>
      <c r="BG18" s="56">
        <v>5.6</v>
      </c>
      <c r="BH18" s="56">
        <v>5.5</v>
      </c>
      <c r="BI18" s="56">
        <v>5.4</v>
      </c>
      <c r="BJ18" s="56">
        <v>5.4</v>
      </c>
      <c r="BK18" s="56">
        <v>5.4</v>
      </c>
      <c r="BL18" s="56">
        <v>5.5</v>
      </c>
      <c r="BM18" s="56">
        <v>5.4</v>
      </c>
      <c r="BN18" s="56">
        <v>5.4</v>
      </c>
      <c r="BO18" s="56">
        <v>5.2</v>
      </c>
      <c r="BP18" s="56">
        <v>5.4</v>
      </c>
      <c r="BQ18" s="56">
        <v>5.5</v>
      </c>
      <c r="BR18" s="56">
        <v>5.4</v>
      </c>
      <c r="BS18" s="56">
        <v>5.5</v>
      </c>
      <c r="BT18" s="56">
        <v>5.3</v>
      </c>
      <c r="BU18" s="56">
        <v>5.4</v>
      </c>
      <c r="BV18" s="56">
        <v>5.5</v>
      </c>
      <c r="BW18" s="56">
        <v>5.0999999999999996</v>
      </c>
      <c r="BX18" s="56">
        <v>5.5</v>
      </c>
      <c r="BY18" s="56">
        <v>5.6</v>
      </c>
      <c r="BZ18" s="56">
        <v>5.6</v>
      </c>
      <c r="CA18" s="56">
        <v>5.7</v>
      </c>
      <c r="CB18" s="56">
        <v>5.4</v>
      </c>
      <c r="CC18" s="56">
        <v>5.4</v>
      </c>
      <c r="CD18" s="56">
        <v>5.4</v>
      </c>
      <c r="CE18" s="56">
        <v>5.2</v>
      </c>
      <c r="CF18" s="56">
        <v>5.7</v>
      </c>
      <c r="CG18" s="56">
        <v>5.3</v>
      </c>
      <c r="CH18" s="56">
        <v>5.3</v>
      </c>
      <c r="CI18" s="56">
        <v>5.4</v>
      </c>
      <c r="CJ18" s="56">
        <v>5.9</v>
      </c>
      <c r="CK18" s="56">
        <v>5.5</v>
      </c>
      <c r="CL18" s="56">
        <v>5.0999999999999996</v>
      </c>
      <c r="CM18" s="56">
        <v>5.4</v>
      </c>
      <c r="CN18" s="56">
        <v>5.0999999999999996</v>
      </c>
      <c r="CO18" s="56">
        <v>5.0999999999999996</v>
      </c>
      <c r="CP18" s="56">
        <v>5.5</v>
      </c>
      <c r="CQ18" s="56">
        <v>5.3</v>
      </c>
      <c r="CR18" s="56">
        <v>5.6</v>
      </c>
      <c r="CS18" s="56">
        <v>5.2</v>
      </c>
      <c r="CT18" s="56">
        <v>5.6</v>
      </c>
      <c r="CU18" s="56">
        <v>5</v>
      </c>
      <c r="CV18" s="56">
        <v>5.6</v>
      </c>
      <c r="CW18" s="56">
        <v>5.4</v>
      </c>
      <c r="CX18" s="56">
        <v>5.4</v>
      </c>
      <c r="CY18" s="56">
        <v>5.5</v>
      </c>
      <c r="CZ18" s="58">
        <v>5.5</v>
      </c>
      <c r="DA18" s="56">
        <v>5.4</v>
      </c>
      <c r="DB18" s="56">
        <v>5.5</v>
      </c>
      <c r="DC18" s="56">
        <v>5.3</v>
      </c>
      <c r="DD18" s="56">
        <v>5.4</v>
      </c>
      <c r="DE18" s="56">
        <v>5.5</v>
      </c>
      <c r="DF18" s="49">
        <v>5.5</v>
      </c>
      <c r="DJ18" s="22"/>
      <c r="DL18" s="22"/>
      <c r="DM18" s="33"/>
      <c r="DN18" s="22"/>
    </row>
    <row r="19" spans="1:118" ht="18" x14ac:dyDescent="0.35">
      <c r="A19" s="24">
        <v>16</v>
      </c>
      <c r="B19" s="24" t="s">
        <v>58</v>
      </c>
      <c r="C19" s="24">
        <v>40</v>
      </c>
      <c r="D19" s="28">
        <v>38</v>
      </c>
      <c r="E19" s="29">
        <f t="shared" si="0"/>
        <v>40.633333333333333</v>
      </c>
      <c r="F19" s="46"/>
      <c r="G19" s="169"/>
      <c r="H19" s="44" t="s">
        <v>145</v>
      </c>
      <c r="I19" s="42" t="s">
        <v>41</v>
      </c>
      <c r="J19" s="49">
        <v>16</v>
      </c>
      <c r="K19" s="49">
        <v>7.8</v>
      </c>
      <c r="L19" s="49">
        <v>10.6</v>
      </c>
      <c r="M19" s="49">
        <v>7.6</v>
      </c>
      <c r="N19" s="49">
        <v>10.8</v>
      </c>
      <c r="O19" s="49">
        <v>10</v>
      </c>
      <c r="P19" s="49">
        <v>9.3000000000000007</v>
      </c>
      <c r="Q19" s="49">
        <v>7.5</v>
      </c>
      <c r="R19" s="49">
        <v>12.3</v>
      </c>
      <c r="S19" s="49">
        <v>14</v>
      </c>
      <c r="T19" s="49">
        <v>8.5</v>
      </c>
      <c r="U19" s="49">
        <v>8.4</v>
      </c>
      <c r="V19" s="49">
        <v>10.7</v>
      </c>
      <c r="W19" s="49">
        <v>10</v>
      </c>
      <c r="X19" s="49">
        <v>13.1</v>
      </c>
      <c r="Y19" s="49">
        <v>9.3000000000000007</v>
      </c>
      <c r="Z19" s="49">
        <v>8.8000000000000007</v>
      </c>
      <c r="AA19" s="49">
        <v>11.9</v>
      </c>
      <c r="AB19" s="49">
        <v>12</v>
      </c>
      <c r="AC19" s="49">
        <v>13.1</v>
      </c>
      <c r="AD19" s="49">
        <v>11.8</v>
      </c>
      <c r="AE19" s="49">
        <v>14.1</v>
      </c>
      <c r="AF19" s="49">
        <v>6.7</v>
      </c>
      <c r="AG19" s="49">
        <v>7.5</v>
      </c>
      <c r="AH19" s="49">
        <v>8.8000000000000007</v>
      </c>
      <c r="AI19" s="49">
        <v>15.1</v>
      </c>
      <c r="AJ19" s="49">
        <v>14.1</v>
      </c>
      <c r="AK19" s="49">
        <v>10.9</v>
      </c>
      <c r="AL19" s="49">
        <v>14.5</v>
      </c>
      <c r="AM19" s="49">
        <v>10.199999999999999</v>
      </c>
      <c r="AN19" s="49">
        <v>12.5</v>
      </c>
      <c r="AO19" s="49">
        <v>11</v>
      </c>
      <c r="AP19" s="49">
        <v>11.4</v>
      </c>
      <c r="AQ19" s="49">
        <v>11.8</v>
      </c>
      <c r="AR19" s="49">
        <v>9.9</v>
      </c>
      <c r="AS19" s="56">
        <v>9.1</v>
      </c>
      <c r="AT19" s="56">
        <v>11.6</v>
      </c>
      <c r="AU19" s="56">
        <v>11.2</v>
      </c>
      <c r="AV19" s="56">
        <v>10.6</v>
      </c>
      <c r="AW19" s="56">
        <v>12.3</v>
      </c>
      <c r="AX19" s="56">
        <v>7.8</v>
      </c>
      <c r="AY19" s="56">
        <v>8.1999999999999993</v>
      </c>
      <c r="AZ19" s="56">
        <v>12.5</v>
      </c>
      <c r="BA19" s="56">
        <v>11.3</v>
      </c>
      <c r="BB19" s="56">
        <v>13.1</v>
      </c>
      <c r="BC19" s="56">
        <v>10.3</v>
      </c>
      <c r="BD19" s="56">
        <v>11.1</v>
      </c>
      <c r="BE19" s="56">
        <v>13.6</v>
      </c>
      <c r="BF19" s="56">
        <v>8.4</v>
      </c>
      <c r="BG19" s="56">
        <v>8.1999999999999993</v>
      </c>
      <c r="BH19" s="56">
        <v>9.6</v>
      </c>
      <c r="BI19" s="56">
        <v>10.4</v>
      </c>
      <c r="BJ19" s="56">
        <v>12.3</v>
      </c>
      <c r="BK19" s="56">
        <v>12.4</v>
      </c>
      <c r="BL19" s="56">
        <v>8.6999999999999993</v>
      </c>
      <c r="BM19" s="56">
        <v>12.7</v>
      </c>
      <c r="BN19" s="56">
        <v>12.8</v>
      </c>
      <c r="BO19" s="56">
        <v>14.4</v>
      </c>
      <c r="BP19" s="56">
        <v>9.9</v>
      </c>
      <c r="BQ19" s="56">
        <v>8.9</v>
      </c>
      <c r="BR19" s="56">
        <v>11.4</v>
      </c>
      <c r="BS19" s="56">
        <v>10.6</v>
      </c>
      <c r="BT19" s="56">
        <v>11.3</v>
      </c>
      <c r="BU19" s="56">
        <v>9</v>
      </c>
      <c r="BV19" s="56">
        <v>9.6999999999999993</v>
      </c>
      <c r="BW19" s="56">
        <v>11.8</v>
      </c>
      <c r="BX19" s="56">
        <v>10.1</v>
      </c>
      <c r="BY19" s="56">
        <v>9.1999999999999993</v>
      </c>
      <c r="BZ19" s="56">
        <v>8.1</v>
      </c>
      <c r="CA19" s="56">
        <v>11.1</v>
      </c>
      <c r="CB19" s="56">
        <v>10.1</v>
      </c>
      <c r="CC19" s="56">
        <v>13.7</v>
      </c>
      <c r="CD19" s="56">
        <v>10.3</v>
      </c>
      <c r="CE19" s="56">
        <v>14.8</v>
      </c>
      <c r="CF19" s="56">
        <v>9.9</v>
      </c>
      <c r="CG19" s="56">
        <v>12.3</v>
      </c>
      <c r="CH19" s="56">
        <v>10.9</v>
      </c>
      <c r="CI19" s="56">
        <v>9.6999999999999993</v>
      </c>
      <c r="CJ19" s="56">
        <v>9.6</v>
      </c>
      <c r="CK19" s="56">
        <v>10</v>
      </c>
      <c r="CL19" s="56">
        <v>10.8</v>
      </c>
      <c r="CM19" s="56">
        <v>10.5</v>
      </c>
      <c r="CN19" s="56">
        <v>15.3</v>
      </c>
      <c r="CO19" s="56">
        <v>13.5</v>
      </c>
      <c r="CP19" s="56">
        <v>9.6</v>
      </c>
      <c r="CQ19" s="56">
        <v>13</v>
      </c>
      <c r="CR19" s="56">
        <v>10.4</v>
      </c>
      <c r="CS19" s="56">
        <v>10.3</v>
      </c>
      <c r="CT19" s="56">
        <v>7.9</v>
      </c>
      <c r="CU19" s="56">
        <v>15.5</v>
      </c>
      <c r="CV19" s="56">
        <v>10.6</v>
      </c>
      <c r="CW19" s="56">
        <v>9.4</v>
      </c>
      <c r="CX19" s="56">
        <v>9.8000000000000007</v>
      </c>
      <c r="CY19" s="56">
        <v>8.6</v>
      </c>
      <c r="CZ19" s="58">
        <v>8.1999999999999993</v>
      </c>
      <c r="DA19" s="56">
        <v>8.9</v>
      </c>
      <c r="DB19" s="56">
        <v>8.6</v>
      </c>
      <c r="DC19" s="56">
        <v>10.5</v>
      </c>
      <c r="DD19" s="56">
        <v>9.3000000000000007</v>
      </c>
      <c r="DE19" s="56">
        <v>8.8000000000000007</v>
      </c>
      <c r="DF19" s="49">
        <v>11.2</v>
      </c>
      <c r="DJ19" s="22"/>
      <c r="DL19" s="22"/>
      <c r="DM19" s="33"/>
      <c r="DN19" s="22"/>
    </row>
    <row r="20" spans="1:118" ht="18" x14ac:dyDescent="0.35">
      <c r="A20" s="24">
        <v>17</v>
      </c>
      <c r="B20" s="24" t="s">
        <v>61</v>
      </c>
      <c r="C20" s="24">
        <v>39</v>
      </c>
      <c r="D20" s="28">
        <v>13</v>
      </c>
      <c r="E20" s="29">
        <f t="shared" si="0"/>
        <v>39.216666666666669</v>
      </c>
      <c r="F20" s="46"/>
      <c r="G20" s="169" t="s">
        <v>177</v>
      </c>
      <c r="H20" s="44" t="s">
        <v>146</v>
      </c>
      <c r="I20" s="42" t="s">
        <v>41</v>
      </c>
      <c r="J20" s="49">
        <v>4.3</v>
      </c>
      <c r="K20" s="49">
        <v>4</v>
      </c>
      <c r="L20" s="49">
        <v>4.0999999999999996</v>
      </c>
      <c r="M20" s="49">
        <v>3.9</v>
      </c>
      <c r="N20" s="49">
        <v>4.2</v>
      </c>
      <c r="O20" s="49">
        <v>4.2</v>
      </c>
      <c r="P20" s="49">
        <v>4.2</v>
      </c>
      <c r="Q20" s="49">
        <v>4</v>
      </c>
      <c r="R20" s="49">
        <v>4.3</v>
      </c>
      <c r="S20" s="49">
        <v>4</v>
      </c>
      <c r="T20" s="49">
        <v>3.9</v>
      </c>
      <c r="U20" s="49">
        <v>3.8</v>
      </c>
      <c r="V20" s="49">
        <v>4.3</v>
      </c>
      <c r="W20" s="49">
        <v>4</v>
      </c>
      <c r="X20" s="49">
        <v>4.0999999999999996</v>
      </c>
      <c r="Y20" s="49">
        <v>3.9</v>
      </c>
      <c r="Z20" s="49">
        <v>3.8</v>
      </c>
      <c r="AA20" s="49">
        <v>4.5</v>
      </c>
      <c r="AB20" s="49">
        <v>4.2</v>
      </c>
      <c r="AC20" s="49">
        <v>4</v>
      </c>
      <c r="AD20" s="49">
        <v>4</v>
      </c>
      <c r="AE20" s="49">
        <v>4.5</v>
      </c>
      <c r="AF20" s="49">
        <v>4.0999999999999996</v>
      </c>
      <c r="AG20" s="49">
        <v>3.9</v>
      </c>
      <c r="AH20" s="49">
        <v>4</v>
      </c>
      <c r="AI20" s="49">
        <v>4.3</v>
      </c>
      <c r="AJ20" s="49">
        <v>4.5</v>
      </c>
      <c r="AK20" s="49">
        <v>4.5</v>
      </c>
      <c r="AL20" s="49">
        <v>4.5</v>
      </c>
      <c r="AM20" s="49">
        <v>3.9</v>
      </c>
      <c r="AN20" s="49">
        <v>4.0999999999999996</v>
      </c>
      <c r="AO20" s="49">
        <v>4</v>
      </c>
      <c r="AP20" s="49">
        <v>4</v>
      </c>
      <c r="AQ20" s="49">
        <v>4.2</v>
      </c>
      <c r="AR20" s="49">
        <v>4</v>
      </c>
      <c r="AS20" s="56">
        <v>3.9</v>
      </c>
      <c r="AT20" s="56">
        <v>4</v>
      </c>
      <c r="AU20" s="56">
        <v>3.9</v>
      </c>
      <c r="AV20" s="56">
        <v>4.3</v>
      </c>
      <c r="AW20" s="56">
        <v>4.4000000000000004</v>
      </c>
      <c r="AX20" s="56">
        <v>3.9</v>
      </c>
      <c r="AY20" s="56">
        <v>4</v>
      </c>
      <c r="AZ20" s="56">
        <v>4.2</v>
      </c>
      <c r="BA20" s="56">
        <v>4</v>
      </c>
      <c r="BB20" s="56">
        <v>4</v>
      </c>
      <c r="BC20" s="56">
        <v>4</v>
      </c>
      <c r="BD20" s="56">
        <v>4</v>
      </c>
      <c r="BE20" s="56">
        <v>4.5999999999999996</v>
      </c>
      <c r="BF20" s="56">
        <v>3.9</v>
      </c>
      <c r="BG20" s="56">
        <v>4</v>
      </c>
      <c r="BH20" s="56">
        <v>4</v>
      </c>
      <c r="BI20" s="56">
        <v>4</v>
      </c>
      <c r="BJ20" s="56">
        <v>4.4000000000000004</v>
      </c>
      <c r="BK20" s="56">
        <v>4.0999999999999996</v>
      </c>
      <c r="BL20" s="56">
        <v>3.9</v>
      </c>
      <c r="BM20" s="56">
        <v>4.3</v>
      </c>
      <c r="BN20" s="56">
        <v>4.3</v>
      </c>
      <c r="BO20" s="56">
        <v>4.4000000000000004</v>
      </c>
      <c r="BP20" s="56">
        <v>4</v>
      </c>
      <c r="BQ20" s="56">
        <v>3.9</v>
      </c>
      <c r="BR20" s="56">
        <v>4.0999999999999996</v>
      </c>
      <c r="BS20" s="56">
        <v>4</v>
      </c>
      <c r="BT20" s="56">
        <v>4</v>
      </c>
      <c r="BU20" s="56">
        <v>3.9</v>
      </c>
      <c r="BV20" s="56">
        <v>4.0999999999999996</v>
      </c>
      <c r="BW20" s="56">
        <v>4</v>
      </c>
      <c r="BX20" s="56">
        <v>4.0999999999999996</v>
      </c>
      <c r="BY20" s="56">
        <v>4.0999999999999996</v>
      </c>
      <c r="BZ20" s="56">
        <v>4</v>
      </c>
      <c r="CA20" s="56">
        <v>4.4000000000000004</v>
      </c>
      <c r="CB20" s="56">
        <v>4</v>
      </c>
      <c r="CC20" s="56">
        <v>4.5</v>
      </c>
      <c r="CD20" s="56">
        <v>4</v>
      </c>
      <c r="CE20" s="56">
        <v>4.0999999999999996</v>
      </c>
      <c r="CF20" s="56">
        <v>4.2</v>
      </c>
      <c r="CG20" s="56">
        <v>4.0999999999999996</v>
      </c>
      <c r="CH20" s="56">
        <v>4</v>
      </c>
      <c r="CI20" s="56">
        <v>4</v>
      </c>
      <c r="CJ20" s="56">
        <v>4.4000000000000004</v>
      </c>
      <c r="CK20" s="56">
        <v>4.0999999999999996</v>
      </c>
      <c r="CL20" s="56">
        <v>3.7</v>
      </c>
      <c r="CM20" s="56">
        <v>4</v>
      </c>
      <c r="CN20" s="56">
        <v>4.2</v>
      </c>
      <c r="CO20" s="56">
        <v>4.0999999999999996</v>
      </c>
      <c r="CP20" s="56">
        <v>4</v>
      </c>
      <c r="CQ20" s="56">
        <v>4.2</v>
      </c>
      <c r="CR20" s="56">
        <v>4.2</v>
      </c>
      <c r="CS20" s="56">
        <v>3.8</v>
      </c>
      <c r="CT20" s="56">
        <v>4</v>
      </c>
      <c r="CU20" s="56">
        <v>4.2</v>
      </c>
      <c r="CV20" s="56">
        <v>4.2</v>
      </c>
      <c r="CW20" s="56">
        <v>3.9</v>
      </c>
      <c r="CX20" s="56">
        <v>3.9</v>
      </c>
      <c r="CY20" s="56">
        <v>3.8</v>
      </c>
      <c r="CZ20" s="58">
        <v>3.9</v>
      </c>
      <c r="DA20" s="56">
        <v>3.9</v>
      </c>
      <c r="DB20" s="56">
        <v>4</v>
      </c>
      <c r="DC20" s="56">
        <v>3.9</v>
      </c>
      <c r="DD20" s="56">
        <v>3.8</v>
      </c>
      <c r="DE20" s="56">
        <v>3.9</v>
      </c>
      <c r="DF20" s="49">
        <v>4.0999999999999996</v>
      </c>
      <c r="DJ20" s="22"/>
      <c r="DL20" s="22"/>
      <c r="DM20" s="33"/>
      <c r="DN20" s="22"/>
    </row>
    <row r="21" spans="1:118" ht="18" x14ac:dyDescent="0.35">
      <c r="A21" s="24">
        <v>18</v>
      </c>
      <c r="B21" s="137" t="s">
        <v>190</v>
      </c>
      <c r="C21" s="24">
        <v>37</v>
      </c>
      <c r="D21" s="28">
        <v>29</v>
      </c>
      <c r="E21" s="29">
        <f t="shared" si="0"/>
        <v>37.483333333333334</v>
      </c>
      <c r="F21" s="46"/>
      <c r="G21" s="169"/>
      <c r="H21" s="44" t="s">
        <v>145</v>
      </c>
      <c r="I21" s="42" t="s">
        <v>41</v>
      </c>
      <c r="J21" s="49">
        <v>10.3</v>
      </c>
      <c r="K21" s="49">
        <v>4.5</v>
      </c>
      <c r="L21" s="49">
        <v>6.4</v>
      </c>
      <c r="M21" s="49">
        <v>4.8</v>
      </c>
      <c r="N21" s="49">
        <v>6.2</v>
      </c>
      <c r="O21" s="49">
        <v>6.4</v>
      </c>
      <c r="P21" s="49">
        <v>5.2</v>
      </c>
      <c r="Q21" s="49">
        <v>5.0999999999999996</v>
      </c>
      <c r="R21" s="49">
        <v>7.7</v>
      </c>
      <c r="S21" s="49">
        <v>9.1999999999999993</v>
      </c>
      <c r="T21" s="49">
        <v>5.2</v>
      </c>
      <c r="U21" s="49">
        <v>5.3</v>
      </c>
      <c r="V21" s="49">
        <v>6.8</v>
      </c>
      <c r="W21" s="49">
        <v>5.9</v>
      </c>
      <c r="X21" s="49">
        <v>8.9</v>
      </c>
      <c r="Y21" s="49">
        <v>5.3</v>
      </c>
      <c r="Z21" s="49">
        <v>5.5</v>
      </c>
      <c r="AA21" s="49">
        <v>7.7</v>
      </c>
      <c r="AB21" s="49">
        <v>7.8</v>
      </c>
      <c r="AC21" s="49">
        <v>8.9</v>
      </c>
      <c r="AD21" s="49">
        <v>7.8</v>
      </c>
      <c r="AE21" s="49">
        <v>9.3000000000000007</v>
      </c>
      <c r="AF21" s="49">
        <v>4.5999999999999996</v>
      </c>
      <c r="AG21" s="49">
        <v>5.0999999999999996</v>
      </c>
      <c r="AH21" s="49">
        <v>4.4000000000000004</v>
      </c>
      <c r="AI21" s="49">
        <v>8.6</v>
      </c>
      <c r="AJ21" s="49">
        <v>9.1999999999999993</v>
      </c>
      <c r="AK21" s="49">
        <v>8</v>
      </c>
      <c r="AL21" s="49">
        <v>9.4</v>
      </c>
      <c r="AM21" s="49">
        <v>6.8</v>
      </c>
      <c r="AN21" s="49">
        <v>8.4</v>
      </c>
      <c r="AO21" s="49">
        <v>6.9</v>
      </c>
      <c r="AP21" s="49">
        <v>6.3</v>
      </c>
      <c r="AQ21" s="49">
        <v>7.4</v>
      </c>
      <c r="AR21" s="49">
        <v>6.6</v>
      </c>
      <c r="AS21" s="56">
        <v>5.4</v>
      </c>
      <c r="AT21" s="56">
        <v>7.7</v>
      </c>
      <c r="AU21" s="56">
        <v>7.7</v>
      </c>
      <c r="AV21" s="56">
        <v>6.5</v>
      </c>
      <c r="AW21" s="56">
        <v>8.6</v>
      </c>
      <c r="AX21" s="56">
        <v>5.2</v>
      </c>
      <c r="AY21" s="56">
        <v>4.2</v>
      </c>
      <c r="AZ21" s="56">
        <v>8.1</v>
      </c>
      <c r="BA21" s="56">
        <v>7.3</v>
      </c>
      <c r="BB21" s="56">
        <v>8.6999999999999993</v>
      </c>
      <c r="BC21" s="56">
        <v>6.7</v>
      </c>
      <c r="BD21" s="56">
        <v>7</v>
      </c>
      <c r="BE21" s="56">
        <v>8.3000000000000007</v>
      </c>
      <c r="BF21" s="56">
        <v>4.5</v>
      </c>
      <c r="BG21" s="56">
        <v>4.0999999999999996</v>
      </c>
      <c r="BH21" s="56">
        <v>6</v>
      </c>
      <c r="BI21" s="56">
        <v>6.4</v>
      </c>
      <c r="BJ21" s="56">
        <v>7.2</v>
      </c>
      <c r="BK21" s="56">
        <v>8.6999999999999993</v>
      </c>
      <c r="BL21" s="56">
        <v>4.3</v>
      </c>
      <c r="BM21" s="56">
        <v>8</v>
      </c>
      <c r="BN21" s="56">
        <v>8.3000000000000007</v>
      </c>
      <c r="BO21" s="56">
        <v>9.1</v>
      </c>
      <c r="BP21" s="56">
        <v>5.0999999999999996</v>
      </c>
      <c r="BQ21" s="56">
        <v>5.5</v>
      </c>
      <c r="BR21" s="56">
        <v>7.4</v>
      </c>
      <c r="BS21" s="56">
        <v>7.4</v>
      </c>
      <c r="BT21" s="56">
        <v>7.2</v>
      </c>
      <c r="BU21" s="56">
        <v>5.5</v>
      </c>
      <c r="BV21" s="56">
        <v>6.2</v>
      </c>
      <c r="BW21" s="56">
        <v>6</v>
      </c>
      <c r="BX21" s="56">
        <v>5.6</v>
      </c>
      <c r="BY21" s="56">
        <v>5.9</v>
      </c>
      <c r="BZ21" s="56">
        <v>4</v>
      </c>
      <c r="CA21" s="56">
        <v>7.1</v>
      </c>
      <c r="CB21" s="56">
        <v>5.5</v>
      </c>
      <c r="CC21" s="56">
        <v>8.3000000000000007</v>
      </c>
      <c r="CD21" s="56">
        <v>6</v>
      </c>
      <c r="CE21" s="56">
        <v>11.1</v>
      </c>
      <c r="CF21" s="56">
        <v>6.4</v>
      </c>
      <c r="CG21" s="56">
        <v>8.1</v>
      </c>
      <c r="CH21" s="56">
        <v>6.3</v>
      </c>
      <c r="CI21" s="56">
        <v>5.0999999999999996</v>
      </c>
      <c r="CJ21" s="56">
        <v>6.7</v>
      </c>
      <c r="CK21" s="56">
        <v>6</v>
      </c>
      <c r="CL21" s="56">
        <v>6.4</v>
      </c>
      <c r="CM21" s="56">
        <v>6.3</v>
      </c>
      <c r="CN21" s="56">
        <v>10.8</v>
      </c>
      <c r="CO21" s="56">
        <v>8.5</v>
      </c>
      <c r="CP21" s="56">
        <v>6.3</v>
      </c>
      <c r="CQ21" s="56">
        <v>8.4</v>
      </c>
      <c r="CR21" s="56">
        <v>6.6</v>
      </c>
      <c r="CS21" s="56">
        <v>5.6</v>
      </c>
      <c r="CT21" s="56">
        <v>5.3</v>
      </c>
      <c r="CU21" s="56">
        <v>10.3</v>
      </c>
      <c r="CV21" s="56">
        <v>6.6</v>
      </c>
      <c r="CW21" s="56">
        <v>5.7</v>
      </c>
      <c r="CX21" s="56">
        <v>5.7</v>
      </c>
      <c r="CY21" s="56">
        <v>5.6</v>
      </c>
      <c r="CZ21" s="58">
        <v>5.0999999999999996</v>
      </c>
      <c r="DA21" s="56">
        <v>5.2</v>
      </c>
      <c r="DB21" s="56">
        <v>4.4000000000000004</v>
      </c>
      <c r="DC21" s="56">
        <v>5.9</v>
      </c>
      <c r="DD21" s="56">
        <v>5.5</v>
      </c>
      <c r="DE21" s="56">
        <v>5.5</v>
      </c>
      <c r="DF21" s="49">
        <v>7.2</v>
      </c>
    </row>
    <row r="22" spans="1:118" ht="18" x14ac:dyDescent="0.35">
      <c r="A22" s="24">
        <v>19</v>
      </c>
      <c r="B22" s="24" t="s">
        <v>62</v>
      </c>
      <c r="C22" s="24">
        <v>41</v>
      </c>
      <c r="D22" s="28">
        <v>33</v>
      </c>
      <c r="E22" s="29">
        <f t="shared" si="0"/>
        <v>41.55</v>
      </c>
      <c r="F22" s="46"/>
      <c r="G22" s="169" t="s">
        <v>178</v>
      </c>
      <c r="H22" s="44" t="s">
        <v>146</v>
      </c>
      <c r="I22" s="42" t="s">
        <v>41</v>
      </c>
      <c r="J22" s="49">
        <v>3.5</v>
      </c>
      <c r="K22" s="49">
        <v>2.7</v>
      </c>
      <c r="L22" s="49">
        <v>2.8</v>
      </c>
      <c r="M22" s="49">
        <v>2.6</v>
      </c>
      <c r="N22" s="49">
        <v>3</v>
      </c>
      <c r="O22" s="49">
        <v>3</v>
      </c>
      <c r="P22" s="49">
        <v>2.9</v>
      </c>
      <c r="Q22" s="49">
        <v>2.7</v>
      </c>
      <c r="R22" s="49">
        <v>3.2</v>
      </c>
      <c r="S22" s="49">
        <v>3.1</v>
      </c>
      <c r="T22" s="49">
        <v>2.6</v>
      </c>
      <c r="U22" s="49">
        <v>2.5</v>
      </c>
      <c r="V22" s="49">
        <v>3.2</v>
      </c>
      <c r="W22" s="49">
        <v>2.7</v>
      </c>
      <c r="X22" s="49">
        <v>3.2</v>
      </c>
      <c r="Y22" s="49">
        <v>2.6</v>
      </c>
      <c r="Z22" s="49">
        <v>2.5</v>
      </c>
      <c r="AA22" s="49">
        <v>3.4</v>
      </c>
      <c r="AB22" s="49">
        <v>3.1</v>
      </c>
      <c r="AC22" s="49">
        <v>3.1</v>
      </c>
      <c r="AD22" s="49">
        <v>3</v>
      </c>
      <c r="AE22" s="49">
        <v>3.4</v>
      </c>
      <c r="AF22" s="49">
        <v>2.8</v>
      </c>
      <c r="AG22" s="49">
        <v>2.6</v>
      </c>
      <c r="AH22" s="49">
        <v>2.6</v>
      </c>
      <c r="AI22" s="49">
        <v>3.2</v>
      </c>
      <c r="AJ22" s="49">
        <v>3.4</v>
      </c>
      <c r="AK22" s="49">
        <v>3.5</v>
      </c>
      <c r="AL22" s="49">
        <v>3.4</v>
      </c>
      <c r="AM22" s="49">
        <v>2.7</v>
      </c>
      <c r="AN22" s="49">
        <v>3.1</v>
      </c>
      <c r="AO22" s="49">
        <v>2.9</v>
      </c>
      <c r="AP22" s="49">
        <v>2.8</v>
      </c>
      <c r="AQ22" s="49">
        <v>3.1</v>
      </c>
      <c r="AR22" s="49">
        <v>2.8</v>
      </c>
      <c r="AS22" s="56">
        <v>2.6</v>
      </c>
      <c r="AT22" s="56">
        <v>3</v>
      </c>
      <c r="AU22" s="56">
        <v>2.8</v>
      </c>
      <c r="AV22" s="56">
        <v>3.1</v>
      </c>
      <c r="AW22" s="56">
        <v>3.4</v>
      </c>
      <c r="AX22" s="56">
        <v>2.6</v>
      </c>
      <c r="AY22" s="56">
        <v>2.6</v>
      </c>
      <c r="AZ22" s="56">
        <v>3.3</v>
      </c>
      <c r="BA22" s="56">
        <v>2.9</v>
      </c>
      <c r="BB22" s="56">
        <v>3.1</v>
      </c>
      <c r="BC22" s="56">
        <v>2.8</v>
      </c>
      <c r="BD22" s="56">
        <v>2.9</v>
      </c>
      <c r="BE22" s="56">
        <v>3.5</v>
      </c>
      <c r="BF22" s="56">
        <v>2.5</v>
      </c>
      <c r="BG22" s="56">
        <v>2.6</v>
      </c>
      <c r="BH22" s="56">
        <v>2.7</v>
      </c>
      <c r="BI22" s="56">
        <v>2.8</v>
      </c>
      <c r="BJ22" s="56">
        <v>3.2</v>
      </c>
      <c r="BK22" s="56">
        <v>3.2</v>
      </c>
      <c r="BL22" s="56">
        <v>2.6</v>
      </c>
      <c r="BM22" s="56">
        <v>3.3</v>
      </c>
      <c r="BN22" s="56">
        <v>3.3</v>
      </c>
      <c r="BO22" s="56">
        <v>3.5</v>
      </c>
      <c r="BP22" s="56">
        <v>2.6</v>
      </c>
      <c r="BQ22" s="56">
        <v>2.6</v>
      </c>
      <c r="BR22" s="56">
        <v>3</v>
      </c>
      <c r="BS22" s="56">
        <v>2.9</v>
      </c>
      <c r="BT22" s="56">
        <v>2.9</v>
      </c>
      <c r="BU22" s="56">
        <v>2.5</v>
      </c>
      <c r="BV22" s="56">
        <v>2.8</v>
      </c>
      <c r="BW22" s="56">
        <v>2.7</v>
      </c>
      <c r="BX22" s="56">
        <v>2.8</v>
      </c>
      <c r="BY22" s="56">
        <v>2.8</v>
      </c>
      <c r="BZ22" s="56">
        <v>2.6</v>
      </c>
      <c r="CA22" s="56">
        <v>3.2</v>
      </c>
      <c r="CB22" s="56">
        <v>2.7</v>
      </c>
      <c r="CC22" s="56">
        <v>3.5</v>
      </c>
      <c r="CD22" s="56">
        <v>2.7</v>
      </c>
      <c r="CE22" s="56">
        <v>3.3</v>
      </c>
      <c r="CF22" s="56">
        <v>3</v>
      </c>
      <c r="CG22" s="56">
        <v>3.1</v>
      </c>
      <c r="CH22" s="56">
        <v>2.8</v>
      </c>
      <c r="CI22" s="56">
        <v>2.6</v>
      </c>
      <c r="CJ22" s="56">
        <v>3.2</v>
      </c>
      <c r="CK22" s="56">
        <v>2.9</v>
      </c>
      <c r="CL22" s="56">
        <v>2.5</v>
      </c>
      <c r="CM22" s="56">
        <v>2.8</v>
      </c>
      <c r="CN22" s="56">
        <v>3.4</v>
      </c>
      <c r="CO22" s="56">
        <v>3.2</v>
      </c>
      <c r="CP22" s="56">
        <v>2.8</v>
      </c>
      <c r="CQ22" s="56">
        <v>3.2</v>
      </c>
      <c r="CR22" s="56">
        <v>3</v>
      </c>
      <c r="CS22" s="56">
        <v>2.6</v>
      </c>
      <c r="CT22" s="56">
        <v>2.7</v>
      </c>
      <c r="CU22" s="56">
        <v>3.4</v>
      </c>
      <c r="CV22" s="56">
        <v>3</v>
      </c>
      <c r="CW22" s="56">
        <v>2.6</v>
      </c>
      <c r="CX22" s="56">
        <v>2.5</v>
      </c>
      <c r="CY22" s="56">
        <v>2.6</v>
      </c>
      <c r="CZ22" s="58">
        <v>2.6</v>
      </c>
      <c r="DA22" s="56">
        <v>2.6</v>
      </c>
      <c r="DB22" s="56">
        <v>2.6</v>
      </c>
      <c r="DC22" s="56">
        <v>2.6</v>
      </c>
      <c r="DD22" s="56">
        <v>2.5</v>
      </c>
      <c r="DE22" s="56">
        <v>2.6</v>
      </c>
      <c r="DF22" s="49">
        <v>3</v>
      </c>
    </row>
    <row r="23" spans="1:118" ht="18" x14ac:dyDescent="0.35">
      <c r="A23" s="24">
        <v>20</v>
      </c>
      <c r="B23" s="24" t="s">
        <v>63</v>
      </c>
      <c r="C23" s="24">
        <v>41</v>
      </c>
      <c r="D23" s="28">
        <v>4</v>
      </c>
      <c r="E23" s="29">
        <f t="shared" si="0"/>
        <v>41.06666666666667</v>
      </c>
      <c r="F23" s="46"/>
      <c r="G23" s="169"/>
      <c r="H23" s="44" t="s">
        <v>145</v>
      </c>
      <c r="I23" s="42" t="s">
        <v>41</v>
      </c>
      <c r="J23" s="49">
        <v>6.6</v>
      </c>
      <c r="K23" s="49">
        <v>2.6</v>
      </c>
      <c r="L23" s="49">
        <v>2.7</v>
      </c>
      <c r="M23" s="49">
        <v>3.5</v>
      </c>
      <c r="N23" s="49">
        <v>3.4</v>
      </c>
      <c r="O23" s="49">
        <v>3.4</v>
      </c>
      <c r="P23" s="49">
        <v>2.9</v>
      </c>
      <c r="Q23" s="49">
        <v>2.9</v>
      </c>
      <c r="R23" s="49">
        <v>3.8</v>
      </c>
      <c r="S23" s="49">
        <v>4.9000000000000004</v>
      </c>
      <c r="T23" s="49">
        <v>2.1</v>
      </c>
      <c r="U23" s="49">
        <v>2.2999999999999998</v>
      </c>
      <c r="V23" s="49">
        <v>3.4</v>
      </c>
      <c r="W23" s="49">
        <v>2.6</v>
      </c>
      <c r="X23" s="49">
        <v>4.7</v>
      </c>
      <c r="Y23" s="49">
        <v>2.7</v>
      </c>
      <c r="Z23" s="49">
        <v>2.6</v>
      </c>
      <c r="AA23" s="49">
        <v>4.7</v>
      </c>
      <c r="AB23" s="49">
        <v>4.2</v>
      </c>
      <c r="AC23" s="49">
        <v>4.7</v>
      </c>
      <c r="AD23" s="49">
        <v>3.8</v>
      </c>
      <c r="AE23" s="49">
        <v>6.6</v>
      </c>
      <c r="AF23" s="49">
        <v>3.1</v>
      </c>
      <c r="AG23" s="49">
        <v>2.2999999999999998</v>
      </c>
      <c r="AH23" s="49">
        <v>1.9</v>
      </c>
      <c r="AI23" s="49">
        <v>6.2</v>
      </c>
      <c r="AJ23" s="49">
        <v>6.6</v>
      </c>
      <c r="AK23" s="49">
        <v>4.4000000000000004</v>
      </c>
      <c r="AL23" s="49">
        <v>6.7</v>
      </c>
      <c r="AM23" s="49">
        <v>2</v>
      </c>
      <c r="AN23" s="49">
        <v>4.5999999999999996</v>
      </c>
      <c r="AO23" s="49">
        <v>3.2</v>
      </c>
      <c r="AP23" s="49">
        <v>2.7</v>
      </c>
      <c r="AQ23" s="49">
        <v>4.3</v>
      </c>
      <c r="AR23" s="49">
        <v>3</v>
      </c>
      <c r="AS23" s="56">
        <v>2.7</v>
      </c>
      <c r="AT23" s="56">
        <v>3.7</v>
      </c>
      <c r="AU23" s="56">
        <v>4.0999999999999996</v>
      </c>
      <c r="AV23" s="56">
        <v>3.7</v>
      </c>
      <c r="AW23" s="56">
        <v>5.2</v>
      </c>
      <c r="AX23" s="56">
        <v>2.5</v>
      </c>
      <c r="AY23" s="56">
        <v>1.8</v>
      </c>
      <c r="AZ23" s="56">
        <v>4.0999999999999996</v>
      </c>
      <c r="BA23" s="56">
        <v>3.3</v>
      </c>
      <c r="BB23" s="56">
        <v>4.7</v>
      </c>
      <c r="BC23" s="56">
        <v>3</v>
      </c>
      <c r="BD23" s="56">
        <v>3.5</v>
      </c>
      <c r="BE23" s="56">
        <v>5.4</v>
      </c>
      <c r="BF23" s="56">
        <v>1.9</v>
      </c>
      <c r="BG23" s="56">
        <v>1.8</v>
      </c>
      <c r="BH23" s="56">
        <v>2.6</v>
      </c>
      <c r="BI23" s="56">
        <v>3</v>
      </c>
      <c r="BJ23" s="56">
        <v>3.8</v>
      </c>
      <c r="BK23" s="56">
        <v>4.4000000000000004</v>
      </c>
      <c r="BL23" s="56">
        <v>2.2000000000000002</v>
      </c>
      <c r="BM23" s="56">
        <v>4.4000000000000004</v>
      </c>
      <c r="BN23" s="56">
        <v>4.5</v>
      </c>
      <c r="BO23" s="56">
        <v>5.8</v>
      </c>
      <c r="BP23" s="56">
        <v>2.2000000000000002</v>
      </c>
      <c r="BQ23" s="56">
        <v>2.4</v>
      </c>
      <c r="BR23" s="56">
        <v>3.7</v>
      </c>
      <c r="BS23" s="56">
        <v>3.4</v>
      </c>
      <c r="BT23" s="56">
        <v>3.2</v>
      </c>
      <c r="BU23" s="56">
        <v>2.2000000000000002</v>
      </c>
      <c r="BV23" s="56">
        <v>2.9</v>
      </c>
      <c r="BW23" s="56">
        <v>2.5</v>
      </c>
      <c r="BX23" s="56">
        <v>2.6</v>
      </c>
      <c r="BY23" s="56">
        <v>2.9</v>
      </c>
      <c r="BZ23" s="56">
        <v>1.7</v>
      </c>
      <c r="CA23" s="56">
        <v>4.0999999999999996</v>
      </c>
      <c r="CB23" s="56">
        <v>2.4</v>
      </c>
      <c r="CC23" s="56">
        <v>5.5</v>
      </c>
      <c r="CD23" s="56">
        <v>2.6</v>
      </c>
      <c r="CE23" s="56">
        <v>7.6</v>
      </c>
      <c r="CF23" s="56">
        <v>3.3</v>
      </c>
      <c r="CG23" s="56">
        <v>4.2</v>
      </c>
      <c r="CH23" s="56">
        <v>2.9</v>
      </c>
      <c r="CI23" s="56">
        <v>2.2000000000000002</v>
      </c>
      <c r="CJ23" s="56">
        <v>3.7</v>
      </c>
      <c r="CK23" s="56">
        <v>3.1</v>
      </c>
      <c r="CL23" s="56">
        <v>4.2</v>
      </c>
      <c r="CM23" s="56">
        <v>3</v>
      </c>
      <c r="CN23" s="56">
        <v>7.2</v>
      </c>
      <c r="CO23" s="56">
        <v>4.3</v>
      </c>
      <c r="CP23" s="56">
        <v>3.4</v>
      </c>
      <c r="CQ23" s="56">
        <v>4.7</v>
      </c>
      <c r="CR23" s="56">
        <v>3.6</v>
      </c>
      <c r="CS23" s="56">
        <v>2.9</v>
      </c>
      <c r="CT23" s="56">
        <v>2.8</v>
      </c>
      <c r="CU23" s="56">
        <v>6.5</v>
      </c>
      <c r="CV23" s="56">
        <v>3.6</v>
      </c>
      <c r="CW23" s="56">
        <v>2.5</v>
      </c>
      <c r="CX23" s="56">
        <v>2.2999999999999998</v>
      </c>
      <c r="CY23" s="56">
        <v>2.4</v>
      </c>
      <c r="CZ23" s="58">
        <v>3</v>
      </c>
      <c r="DA23" s="56">
        <v>3.3</v>
      </c>
      <c r="DB23" s="56">
        <v>2.2000000000000002</v>
      </c>
      <c r="DC23" s="56">
        <v>2.7</v>
      </c>
      <c r="DD23" s="56">
        <v>2.9</v>
      </c>
      <c r="DE23" s="56">
        <v>2.4</v>
      </c>
      <c r="DF23" s="49">
        <v>3.9</v>
      </c>
    </row>
    <row r="24" spans="1:118" ht="18" x14ac:dyDescent="0.35">
      <c r="A24" s="24">
        <v>21</v>
      </c>
      <c r="B24" s="24" t="s">
        <v>69</v>
      </c>
      <c r="C24" s="24">
        <v>37</v>
      </c>
      <c r="D24" s="28">
        <v>30</v>
      </c>
      <c r="E24" s="29">
        <f t="shared" si="0"/>
        <v>37.5</v>
      </c>
      <c r="F24" s="46"/>
      <c r="G24" s="169" t="s">
        <v>179</v>
      </c>
      <c r="H24" s="44" t="s">
        <v>146</v>
      </c>
      <c r="I24" s="42" t="s">
        <v>41</v>
      </c>
      <c r="J24" s="49">
        <v>3</v>
      </c>
      <c r="K24" s="49">
        <v>2.1</v>
      </c>
      <c r="L24" s="49">
        <v>2.2999999999999998</v>
      </c>
      <c r="M24" s="49">
        <v>2.1</v>
      </c>
      <c r="N24" s="49">
        <v>2.5</v>
      </c>
      <c r="O24" s="49">
        <v>2.5</v>
      </c>
      <c r="P24" s="49">
        <v>2.2999999999999998</v>
      </c>
      <c r="Q24" s="49">
        <v>2.1</v>
      </c>
      <c r="R24" s="49">
        <v>2.6</v>
      </c>
      <c r="S24" s="49">
        <v>2.7</v>
      </c>
      <c r="T24" s="49">
        <v>2.1</v>
      </c>
      <c r="U24" s="49">
        <v>2</v>
      </c>
      <c r="V24" s="49">
        <v>2.6</v>
      </c>
      <c r="W24" s="49">
        <v>2.2000000000000002</v>
      </c>
      <c r="X24" s="49">
        <v>2.7</v>
      </c>
      <c r="Y24" s="49">
        <v>2.1</v>
      </c>
      <c r="Z24" s="49">
        <v>2</v>
      </c>
      <c r="AA24" s="49">
        <v>2.9</v>
      </c>
      <c r="AB24" s="49">
        <v>2.6</v>
      </c>
      <c r="AC24" s="49">
        <v>2.6</v>
      </c>
      <c r="AD24" s="49">
        <v>2.5</v>
      </c>
      <c r="AE24" s="49">
        <v>3</v>
      </c>
      <c r="AF24" s="49">
        <v>2.2000000000000002</v>
      </c>
      <c r="AG24" s="49">
        <v>2.1</v>
      </c>
      <c r="AH24" s="49">
        <v>2</v>
      </c>
      <c r="AI24" s="49">
        <v>2.8</v>
      </c>
      <c r="AJ24" s="49">
        <v>3</v>
      </c>
      <c r="AK24" s="49">
        <v>2.9</v>
      </c>
      <c r="AL24" s="49">
        <v>3</v>
      </c>
      <c r="AM24" s="49">
        <v>2.1</v>
      </c>
      <c r="AN24" s="49">
        <v>2.6</v>
      </c>
      <c r="AO24" s="49">
        <v>2.2999999999999998</v>
      </c>
      <c r="AP24" s="49">
        <v>2.2000000000000002</v>
      </c>
      <c r="AQ24" s="49">
        <v>2.5</v>
      </c>
      <c r="AR24" s="49">
        <v>2.2000000000000002</v>
      </c>
      <c r="AS24" s="56">
        <v>2</v>
      </c>
      <c r="AT24" s="56">
        <v>2.4</v>
      </c>
      <c r="AU24" s="56">
        <v>2.2999999999999998</v>
      </c>
      <c r="AV24" s="56">
        <v>2.5</v>
      </c>
      <c r="AW24" s="56">
        <v>2.9</v>
      </c>
      <c r="AX24" s="56">
        <v>2.1</v>
      </c>
      <c r="AY24" s="56">
        <v>2</v>
      </c>
      <c r="AZ24" s="56">
        <v>2.7</v>
      </c>
      <c r="BA24" s="56">
        <v>2.2999999999999998</v>
      </c>
      <c r="BB24" s="56">
        <v>2.6</v>
      </c>
      <c r="BC24" s="56">
        <v>2.2999999999999998</v>
      </c>
      <c r="BD24" s="56">
        <v>2.4</v>
      </c>
      <c r="BE24" s="56">
        <v>3</v>
      </c>
      <c r="BF24" s="56">
        <v>2</v>
      </c>
      <c r="BG24" s="56">
        <v>2</v>
      </c>
      <c r="BH24" s="56">
        <v>2.2000000000000002</v>
      </c>
      <c r="BI24" s="56">
        <v>2.2999999999999998</v>
      </c>
      <c r="BJ24" s="56">
        <v>2.7</v>
      </c>
      <c r="BK24" s="56">
        <v>2.7</v>
      </c>
      <c r="BL24" s="56">
        <v>2</v>
      </c>
      <c r="BM24" s="56">
        <v>2.8</v>
      </c>
      <c r="BN24" s="56">
        <v>2.8</v>
      </c>
      <c r="BO24" s="56">
        <v>3</v>
      </c>
      <c r="BP24" s="56">
        <v>2.1</v>
      </c>
      <c r="BQ24" s="56">
        <v>2.1</v>
      </c>
      <c r="BR24" s="56">
        <v>2.5</v>
      </c>
      <c r="BS24" s="56">
        <v>2.4</v>
      </c>
      <c r="BT24" s="56">
        <v>2.2999999999999998</v>
      </c>
      <c r="BU24" s="56">
        <v>2</v>
      </c>
      <c r="BV24" s="56">
        <v>2.2999999999999998</v>
      </c>
      <c r="BW24" s="56">
        <v>2.1</v>
      </c>
      <c r="BX24" s="56">
        <v>2.2000000000000002</v>
      </c>
      <c r="BY24" s="56">
        <v>2.2999999999999998</v>
      </c>
      <c r="BZ24" s="56">
        <v>2</v>
      </c>
      <c r="CA24" s="56">
        <v>2.7</v>
      </c>
      <c r="CB24" s="56">
        <v>2.1</v>
      </c>
      <c r="CC24" s="56">
        <v>3</v>
      </c>
      <c r="CD24" s="56">
        <v>2.2000000000000002</v>
      </c>
      <c r="CE24" s="56">
        <v>3.2</v>
      </c>
      <c r="CF24" s="56">
        <v>2.5</v>
      </c>
      <c r="CG24" s="56">
        <v>2.6</v>
      </c>
      <c r="CH24" s="56">
        <v>2.2000000000000002</v>
      </c>
      <c r="CI24" s="56">
        <v>2.1</v>
      </c>
      <c r="CJ24" s="56">
        <v>2.7</v>
      </c>
      <c r="CK24" s="56">
        <v>2.2999999999999998</v>
      </c>
      <c r="CL24" s="56">
        <v>2</v>
      </c>
      <c r="CM24" s="56">
        <v>2.2999999999999998</v>
      </c>
      <c r="CN24" s="56">
        <v>3.1</v>
      </c>
      <c r="CO24" s="56">
        <v>2.7</v>
      </c>
      <c r="CP24" s="56">
        <v>2.2999999999999998</v>
      </c>
      <c r="CQ24" s="56">
        <v>2.7</v>
      </c>
      <c r="CR24" s="56">
        <v>2.5</v>
      </c>
      <c r="CS24" s="56">
        <v>2</v>
      </c>
      <c r="CT24" s="56">
        <v>2.1</v>
      </c>
      <c r="CU24" s="56">
        <v>3</v>
      </c>
      <c r="CV24" s="56">
        <v>2.4</v>
      </c>
      <c r="CW24" s="56">
        <v>2.1</v>
      </c>
      <c r="CX24" s="56">
        <v>2</v>
      </c>
      <c r="CY24" s="56">
        <v>2</v>
      </c>
      <c r="CZ24" s="58">
        <v>2.1</v>
      </c>
      <c r="DA24" s="56">
        <v>2.1</v>
      </c>
      <c r="DB24" s="56">
        <v>2</v>
      </c>
      <c r="DC24" s="56">
        <v>2.1</v>
      </c>
      <c r="DD24" s="56">
        <v>2</v>
      </c>
      <c r="DE24" s="56">
        <v>2.1</v>
      </c>
      <c r="DF24" s="49">
        <v>2.4</v>
      </c>
    </row>
    <row r="25" spans="1:118" ht="18" x14ac:dyDescent="0.35">
      <c r="A25" s="24">
        <v>22</v>
      </c>
      <c r="B25" s="24" t="s">
        <v>70</v>
      </c>
      <c r="C25" s="24">
        <v>38</v>
      </c>
      <c r="D25" s="28">
        <v>54</v>
      </c>
      <c r="E25" s="29">
        <f t="shared" si="0"/>
        <v>38.9</v>
      </c>
      <c r="F25" s="46"/>
      <c r="G25" s="169"/>
      <c r="H25" s="44" t="s">
        <v>145</v>
      </c>
      <c r="I25" s="42" t="s">
        <v>41</v>
      </c>
      <c r="J25" s="49">
        <v>5.2</v>
      </c>
      <c r="K25" s="49">
        <v>2.1</v>
      </c>
      <c r="L25" s="49">
        <v>1.8</v>
      </c>
      <c r="M25" s="49">
        <v>2.7</v>
      </c>
      <c r="N25" s="49">
        <v>2.2999999999999998</v>
      </c>
      <c r="O25" s="49">
        <v>2.6</v>
      </c>
      <c r="P25" s="49">
        <v>1.8</v>
      </c>
      <c r="Q25" s="49">
        <v>2.7</v>
      </c>
      <c r="R25" s="49">
        <v>2.2999999999999998</v>
      </c>
      <c r="S25" s="49">
        <v>3</v>
      </c>
      <c r="T25" s="49">
        <v>1.8</v>
      </c>
      <c r="U25" s="49">
        <v>1.9</v>
      </c>
      <c r="V25" s="49">
        <v>2.2999999999999998</v>
      </c>
      <c r="W25" s="49">
        <v>1.9</v>
      </c>
      <c r="X25" s="49">
        <v>3.2</v>
      </c>
      <c r="Y25" s="49">
        <v>2.2000000000000002</v>
      </c>
      <c r="Z25" s="49">
        <v>1.9</v>
      </c>
      <c r="AA25" s="49">
        <v>3.5</v>
      </c>
      <c r="AB25" s="49">
        <v>3</v>
      </c>
      <c r="AC25" s="49">
        <v>3.3</v>
      </c>
      <c r="AD25" s="49">
        <v>2.6</v>
      </c>
      <c r="AE25" s="49">
        <v>5</v>
      </c>
      <c r="AF25" s="49">
        <v>2.8</v>
      </c>
      <c r="AG25" s="49">
        <v>1.9</v>
      </c>
      <c r="AH25" s="49">
        <v>1.3</v>
      </c>
      <c r="AI25" s="49">
        <v>4.9000000000000004</v>
      </c>
      <c r="AJ25" s="49">
        <v>5</v>
      </c>
      <c r="AK25" s="49">
        <v>3.6</v>
      </c>
      <c r="AL25" s="49">
        <v>4.9000000000000004</v>
      </c>
      <c r="AM25" s="49">
        <v>1.3</v>
      </c>
      <c r="AN25" s="49">
        <v>3.1</v>
      </c>
      <c r="AO25" s="49">
        <v>2.2999999999999998</v>
      </c>
      <c r="AP25" s="49">
        <v>1.9</v>
      </c>
      <c r="AQ25" s="49">
        <v>3.1</v>
      </c>
      <c r="AR25" s="49">
        <v>2.7</v>
      </c>
      <c r="AS25" s="56">
        <v>1.9</v>
      </c>
      <c r="AT25" s="56">
        <v>2.6</v>
      </c>
      <c r="AU25" s="56">
        <v>3.3</v>
      </c>
      <c r="AV25" s="56">
        <v>2.7</v>
      </c>
      <c r="AW25" s="56">
        <v>3.5</v>
      </c>
      <c r="AX25" s="56">
        <v>2</v>
      </c>
      <c r="AY25" s="56">
        <v>1.2</v>
      </c>
      <c r="AZ25" s="56">
        <v>3.2</v>
      </c>
      <c r="BA25" s="56">
        <v>2.4</v>
      </c>
      <c r="BB25" s="56">
        <v>3.3</v>
      </c>
      <c r="BC25" s="56">
        <v>2.1</v>
      </c>
      <c r="BD25" s="56">
        <v>2.4</v>
      </c>
      <c r="BE25" s="56">
        <v>3.6</v>
      </c>
      <c r="BF25" s="56">
        <v>1.3</v>
      </c>
      <c r="BG25" s="56">
        <v>1.3</v>
      </c>
      <c r="BH25" s="56">
        <v>1.9</v>
      </c>
      <c r="BI25" s="56">
        <v>2.4</v>
      </c>
      <c r="BJ25" s="56">
        <v>3.1</v>
      </c>
      <c r="BK25" s="56">
        <v>3.1</v>
      </c>
      <c r="BL25" s="56">
        <v>1.4</v>
      </c>
      <c r="BM25" s="56">
        <v>3.2</v>
      </c>
      <c r="BN25" s="56">
        <v>3.3</v>
      </c>
      <c r="BO25" s="56">
        <v>3.9</v>
      </c>
      <c r="BP25" s="56">
        <v>1.4</v>
      </c>
      <c r="BQ25" s="56">
        <v>2.1</v>
      </c>
      <c r="BR25" s="56">
        <v>2.4</v>
      </c>
      <c r="BS25" s="56">
        <v>2.2000000000000002</v>
      </c>
      <c r="BT25" s="56">
        <v>2.4</v>
      </c>
      <c r="BU25" s="56">
        <v>1.9</v>
      </c>
      <c r="BV25" s="56">
        <v>2.1</v>
      </c>
      <c r="BW25" s="56">
        <v>1.6</v>
      </c>
      <c r="BX25" s="56">
        <v>1.7</v>
      </c>
      <c r="BY25" s="56">
        <v>2.1</v>
      </c>
      <c r="BZ25" s="56">
        <v>1.2</v>
      </c>
      <c r="CA25" s="56">
        <v>2.8</v>
      </c>
      <c r="CB25" s="56">
        <v>1.5</v>
      </c>
      <c r="CC25" s="56">
        <v>3.8</v>
      </c>
      <c r="CD25" s="56">
        <v>1.8</v>
      </c>
      <c r="CE25" s="56">
        <v>4.4000000000000004</v>
      </c>
      <c r="CF25" s="56">
        <v>2.5</v>
      </c>
      <c r="CG25" s="56">
        <v>2.8</v>
      </c>
      <c r="CH25" s="56">
        <v>1.9</v>
      </c>
      <c r="CI25" s="56">
        <v>1.8</v>
      </c>
      <c r="CJ25" s="56">
        <v>2.6</v>
      </c>
      <c r="CK25" s="56">
        <v>2</v>
      </c>
      <c r="CL25" s="56">
        <v>2.7</v>
      </c>
      <c r="CM25" s="56">
        <v>2.5</v>
      </c>
      <c r="CN25" s="56">
        <v>4.7</v>
      </c>
      <c r="CO25" s="56">
        <v>3.1</v>
      </c>
      <c r="CP25" s="56">
        <v>2.7</v>
      </c>
      <c r="CQ25" s="56">
        <v>3.3</v>
      </c>
      <c r="CR25" s="56">
        <v>2.5</v>
      </c>
      <c r="CS25" s="56">
        <v>2.1</v>
      </c>
      <c r="CT25" s="56">
        <v>2.6</v>
      </c>
      <c r="CU25" s="56">
        <v>4.4000000000000004</v>
      </c>
      <c r="CV25" s="56">
        <v>2.2999999999999998</v>
      </c>
      <c r="CW25" s="56">
        <v>1.8</v>
      </c>
      <c r="CX25" s="56">
        <v>1.9</v>
      </c>
      <c r="CY25" s="56">
        <v>2</v>
      </c>
      <c r="CZ25" s="58">
        <v>2.6</v>
      </c>
      <c r="DA25" s="56">
        <v>2.6</v>
      </c>
      <c r="DB25" s="56">
        <v>1.5</v>
      </c>
      <c r="DC25" s="56">
        <v>2</v>
      </c>
      <c r="DD25" s="56">
        <v>2.4</v>
      </c>
      <c r="DE25" s="56">
        <v>2.1</v>
      </c>
      <c r="DF25" s="49">
        <v>2.6</v>
      </c>
    </row>
    <row r="26" spans="1:118" x14ac:dyDescent="0.25">
      <c r="A26" s="24">
        <v>23</v>
      </c>
      <c r="B26" s="24" t="s">
        <v>64</v>
      </c>
      <c r="C26" s="24">
        <v>42</v>
      </c>
      <c r="D26" s="28">
        <v>21</v>
      </c>
      <c r="E26" s="29">
        <f t="shared" si="0"/>
        <v>42.35</v>
      </c>
      <c r="F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CB26" s="1"/>
    </row>
    <row r="27" spans="1:118" x14ac:dyDescent="0.25">
      <c r="A27" s="24">
        <v>24</v>
      </c>
      <c r="B27" s="24" t="s">
        <v>66</v>
      </c>
      <c r="C27" s="24">
        <v>45</v>
      </c>
      <c r="D27" s="28">
        <v>48</v>
      </c>
      <c r="E27" s="29">
        <f t="shared" si="0"/>
        <v>45.8</v>
      </c>
      <c r="F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CB27" s="1"/>
    </row>
    <row r="28" spans="1:118" x14ac:dyDescent="0.25">
      <c r="A28" s="24">
        <v>25</v>
      </c>
      <c r="B28" s="24" t="s">
        <v>68</v>
      </c>
      <c r="C28" s="24">
        <v>39</v>
      </c>
      <c r="D28" s="28">
        <v>18</v>
      </c>
      <c r="E28" s="29">
        <f t="shared" si="0"/>
        <v>39.299999999999997</v>
      </c>
      <c r="F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CB28" s="1"/>
    </row>
    <row r="29" spans="1:118" x14ac:dyDescent="0.25">
      <c r="A29" s="24">
        <v>26</v>
      </c>
      <c r="B29" s="24" t="s">
        <v>67</v>
      </c>
      <c r="C29" s="24">
        <v>45</v>
      </c>
      <c r="D29" s="28">
        <v>8</v>
      </c>
      <c r="E29" s="29">
        <f t="shared" si="0"/>
        <v>45.133333333333333</v>
      </c>
      <c r="F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CB29" s="1"/>
    </row>
    <row r="30" spans="1:118" x14ac:dyDescent="0.25">
      <c r="A30" s="24">
        <v>27</v>
      </c>
      <c r="B30" s="24" t="s">
        <v>77</v>
      </c>
      <c r="C30" s="24">
        <v>39</v>
      </c>
      <c r="D30" s="28">
        <v>4</v>
      </c>
      <c r="E30" s="29">
        <f t="shared" si="0"/>
        <v>39.06666666666667</v>
      </c>
      <c r="F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CB30" s="1"/>
    </row>
    <row r="31" spans="1:118" x14ac:dyDescent="0.25">
      <c r="A31" s="24">
        <v>28</v>
      </c>
      <c r="B31" s="24" t="s">
        <v>65</v>
      </c>
      <c r="C31" s="24">
        <v>44</v>
      </c>
      <c r="D31" s="28">
        <v>22</v>
      </c>
      <c r="E31" s="29">
        <f t="shared" si="0"/>
        <v>44.366666666666667</v>
      </c>
      <c r="F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CB31" s="1"/>
    </row>
    <row r="32" spans="1:118" x14ac:dyDescent="0.25">
      <c r="A32" s="24">
        <v>29</v>
      </c>
      <c r="B32" s="24" t="s">
        <v>71</v>
      </c>
      <c r="C32" s="24">
        <v>37</v>
      </c>
      <c r="D32" s="28">
        <v>33</v>
      </c>
      <c r="E32" s="29">
        <f t="shared" si="0"/>
        <v>37.549999999999997</v>
      </c>
      <c r="F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CB32" s="1"/>
    </row>
    <row r="33" spans="1:80" x14ac:dyDescent="0.25">
      <c r="A33" s="24">
        <v>30</v>
      </c>
      <c r="B33" s="24" t="s">
        <v>72</v>
      </c>
      <c r="C33" s="24">
        <v>44</v>
      </c>
      <c r="D33" s="28">
        <v>50</v>
      </c>
      <c r="E33" s="29">
        <f t="shared" si="0"/>
        <v>44.833333333333336</v>
      </c>
      <c r="F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CB33" s="1"/>
    </row>
    <row r="34" spans="1:80" x14ac:dyDescent="0.25">
      <c r="A34" s="24">
        <v>31</v>
      </c>
      <c r="B34" s="26" t="s">
        <v>185</v>
      </c>
      <c r="C34" s="24">
        <v>43</v>
      </c>
      <c r="D34" s="28">
        <v>41</v>
      </c>
      <c r="E34" s="29">
        <f t="shared" si="0"/>
        <v>43.68333333333333</v>
      </c>
      <c r="F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CB34" s="1"/>
    </row>
    <row r="35" spans="1:80" x14ac:dyDescent="0.25">
      <c r="A35" s="24">
        <v>32</v>
      </c>
      <c r="B35" s="26" t="s">
        <v>73</v>
      </c>
      <c r="C35" s="24">
        <v>41</v>
      </c>
      <c r="D35" s="28">
        <v>27</v>
      </c>
      <c r="E35" s="29">
        <f t="shared" si="0"/>
        <v>41.45</v>
      </c>
      <c r="F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CB35" s="1"/>
    </row>
    <row r="36" spans="1:80" x14ac:dyDescent="0.25">
      <c r="A36" s="24">
        <v>33</v>
      </c>
      <c r="B36" s="137" t="s">
        <v>191</v>
      </c>
      <c r="C36" s="24">
        <v>44</v>
      </c>
      <c r="D36" s="28">
        <v>13</v>
      </c>
      <c r="E36" s="29">
        <f t="shared" si="0"/>
        <v>44.216666666666669</v>
      </c>
      <c r="F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CB36" s="1"/>
    </row>
    <row r="37" spans="1:80" x14ac:dyDescent="0.25">
      <c r="A37" s="24">
        <v>34</v>
      </c>
      <c r="B37" s="26" t="s">
        <v>42</v>
      </c>
      <c r="C37" s="24">
        <v>41</v>
      </c>
      <c r="D37" s="28">
        <v>38</v>
      </c>
      <c r="E37" s="29">
        <f t="shared" si="0"/>
        <v>41.633333333333333</v>
      </c>
      <c r="Z37" s="46"/>
      <c r="AJ37" s="46"/>
      <c r="CB37" s="1"/>
    </row>
    <row r="38" spans="1:80" x14ac:dyDescent="0.25">
      <c r="A38" s="24">
        <v>35</v>
      </c>
      <c r="B38" s="24" t="s">
        <v>74</v>
      </c>
      <c r="C38" s="24">
        <v>44</v>
      </c>
      <c r="D38" s="28">
        <v>25</v>
      </c>
      <c r="E38" s="29">
        <f t="shared" si="0"/>
        <v>44.416666666666664</v>
      </c>
      <c r="F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CB38" s="1"/>
    </row>
    <row r="39" spans="1:80" x14ac:dyDescent="0.25">
      <c r="A39" s="24">
        <v>36</v>
      </c>
      <c r="B39" s="24" t="s">
        <v>75</v>
      </c>
      <c r="C39" s="24">
        <v>45</v>
      </c>
      <c r="D39" s="28">
        <v>56</v>
      </c>
      <c r="E39" s="29">
        <f t="shared" si="0"/>
        <v>45.93333333333333</v>
      </c>
      <c r="F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K39" s="46"/>
      <c r="AL39" s="46"/>
      <c r="AM39" s="46"/>
      <c r="AN39" s="46"/>
      <c r="AO39" s="46"/>
      <c r="AP39" s="46"/>
      <c r="AQ39" s="46"/>
      <c r="AR39" s="46"/>
      <c r="CB39" s="1"/>
    </row>
    <row r="40" spans="1:80" x14ac:dyDescent="0.25">
      <c r="A40" s="24">
        <v>37</v>
      </c>
      <c r="B40" s="24" t="s">
        <v>76</v>
      </c>
      <c r="C40" s="24">
        <v>42</v>
      </c>
      <c r="D40" s="28">
        <v>45</v>
      </c>
      <c r="E40" s="29">
        <f t="shared" si="0"/>
        <v>42.75</v>
      </c>
      <c r="F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CB40" s="1"/>
    </row>
    <row r="41" spans="1:80" x14ac:dyDescent="0.25">
      <c r="A41" s="24">
        <v>38</v>
      </c>
      <c r="B41" s="24" t="s">
        <v>110</v>
      </c>
      <c r="C41" s="24">
        <v>44</v>
      </c>
      <c r="D41" s="28">
        <v>6</v>
      </c>
      <c r="E41" s="29">
        <f t="shared" si="0"/>
        <v>44.1</v>
      </c>
      <c r="F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CB41" s="1"/>
    </row>
    <row r="42" spans="1:80" x14ac:dyDescent="0.25">
      <c r="A42" s="24">
        <v>39</v>
      </c>
      <c r="B42" s="26" t="s">
        <v>134</v>
      </c>
      <c r="C42" s="24">
        <v>42</v>
      </c>
      <c r="D42" s="28">
        <v>21</v>
      </c>
      <c r="E42" s="29">
        <f t="shared" si="0"/>
        <v>42.35</v>
      </c>
      <c r="F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CB42" s="1"/>
    </row>
    <row r="43" spans="1:80" x14ac:dyDescent="0.25">
      <c r="A43" s="24">
        <v>40</v>
      </c>
      <c r="B43" s="24" t="s">
        <v>186</v>
      </c>
      <c r="C43" s="24">
        <v>41</v>
      </c>
      <c r="D43" s="28">
        <v>27</v>
      </c>
      <c r="E43" s="29">
        <f t="shared" si="0"/>
        <v>41.45</v>
      </c>
      <c r="F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CB43" s="1"/>
    </row>
    <row r="44" spans="1:80" x14ac:dyDescent="0.25">
      <c r="A44" s="24">
        <v>41</v>
      </c>
      <c r="B44" s="24" t="s">
        <v>80</v>
      </c>
      <c r="C44" s="24">
        <v>40</v>
      </c>
      <c r="D44" s="28">
        <v>21</v>
      </c>
      <c r="E44" s="29">
        <f t="shared" si="0"/>
        <v>40.35</v>
      </c>
      <c r="F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CB44" s="1"/>
    </row>
    <row r="45" spans="1:80" x14ac:dyDescent="0.25">
      <c r="A45" s="24">
        <v>42</v>
      </c>
      <c r="B45" s="24" t="s">
        <v>78</v>
      </c>
      <c r="C45" s="24">
        <v>45</v>
      </c>
      <c r="D45" s="28">
        <v>51</v>
      </c>
      <c r="E45" s="29">
        <f t="shared" si="0"/>
        <v>45.85</v>
      </c>
      <c r="F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</row>
    <row r="46" spans="1:80" x14ac:dyDescent="0.25">
      <c r="A46" s="24">
        <v>43</v>
      </c>
      <c r="B46" s="24" t="s">
        <v>81</v>
      </c>
      <c r="C46" s="24">
        <v>43</v>
      </c>
      <c r="D46" s="28">
        <v>33</v>
      </c>
      <c r="E46" s="29">
        <f t="shared" si="0"/>
        <v>43.55</v>
      </c>
      <c r="F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</row>
    <row r="47" spans="1:80" x14ac:dyDescent="0.25">
      <c r="A47" s="24">
        <v>44</v>
      </c>
      <c r="B47" s="137" t="s">
        <v>192</v>
      </c>
      <c r="C47" s="24">
        <v>43</v>
      </c>
      <c r="D47" s="28">
        <v>53</v>
      </c>
      <c r="E47" s="29">
        <f t="shared" si="0"/>
        <v>43.883333333333333</v>
      </c>
      <c r="F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</row>
    <row r="48" spans="1:80" x14ac:dyDescent="0.25">
      <c r="A48" s="24">
        <v>45</v>
      </c>
      <c r="B48" s="24" t="s">
        <v>79</v>
      </c>
      <c r="C48" s="24">
        <v>45</v>
      </c>
      <c r="D48" s="28">
        <v>18</v>
      </c>
      <c r="E48" s="29">
        <f t="shared" si="0"/>
        <v>45.3</v>
      </c>
      <c r="F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24">
        <v>46</v>
      </c>
      <c r="B49" s="137" t="s">
        <v>193</v>
      </c>
      <c r="C49" s="24">
        <v>41</v>
      </c>
      <c r="D49" s="28">
        <v>35</v>
      </c>
      <c r="E49" s="29">
        <f t="shared" si="0"/>
        <v>41.583333333333336</v>
      </c>
      <c r="F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24">
        <v>47</v>
      </c>
      <c r="B50" s="24" t="s">
        <v>82</v>
      </c>
      <c r="C50" s="24">
        <v>43</v>
      </c>
      <c r="D50" s="28">
        <v>50</v>
      </c>
      <c r="E50" s="29">
        <f t="shared" si="0"/>
        <v>43.833333333333336</v>
      </c>
      <c r="F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24">
        <v>48</v>
      </c>
      <c r="B51" s="24" t="s">
        <v>83</v>
      </c>
      <c r="C51" s="24">
        <v>43</v>
      </c>
      <c r="D51" s="28">
        <v>17</v>
      </c>
      <c r="E51" s="29">
        <f t="shared" si="0"/>
        <v>43.283333333333331</v>
      </c>
      <c r="F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24">
        <v>49</v>
      </c>
      <c r="B52" s="24" t="s">
        <v>86</v>
      </c>
      <c r="C52" s="24">
        <v>45</v>
      </c>
      <c r="D52" s="28">
        <v>9</v>
      </c>
      <c r="E52" s="29">
        <f t="shared" si="0"/>
        <v>45.15</v>
      </c>
      <c r="F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24">
        <v>50</v>
      </c>
      <c r="B53" s="24" t="s">
        <v>88</v>
      </c>
      <c r="C53" s="24">
        <v>44</v>
      </c>
      <c r="D53" s="28">
        <v>1</v>
      </c>
      <c r="E53" s="29">
        <f t="shared" si="0"/>
        <v>44.016666666666666</v>
      </c>
      <c r="F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24">
        <v>51</v>
      </c>
      <c r="B54" s="24" t="s">
        <v>89</v>
      </c>
      <c r="C54" s="24">
        <v>40</v>
      </c>
      <c r="D54" s="28">
        <v>39</v>
      </c>
      <c r="E54" s="29">
        <f t="shared" si="0"/>
        <v>40.65</v>
      </c>
      <c r="F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24">
        <v>52</v>
      </c>
      <c r="B55" s="24" t="s">
        <v>84</v>
      </c>
      <c r="C55" s="24">
        <v>38</v>
      </c>
      <c r="D55" s="28">
        <v>11</v>
      </c>
      <c r="E55" s="29">
        <f t="shared" si="0"/>
        <v>38.18333333333333</v>
      </c>
      <c r="F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24">
        <v>53</v>
      </c>
      <c r="B56" s="24" t="s">
        <v>85</v>
      </c>
      <c r="C56" s="24">
        <v>45</v>
      </c>
      <c r="D56" s="28">
        <v>27</v>
      </c>
      <c r="E56" s="29">
        <f t="shared" si="0"/>
        <v>45.45</v>
      </c>
      <c r="F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24">
        <v>54</v>
      </c>
      <c r="B57" s="24" t="s">
        <v>87</v>
      </c>
      <c r="C57" s="24">
        <v>44</v>
      </c>
      <c r="D57" s="28">
        <v>38</v>
      </c>
      <c r="E57" s="29">
        <f t="shared" si="0"/>
        <v>44.633333333333333</v>
      </c>
      <c r="F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24">
        <v>55</v>
      </c>
      <c r="B58" s="26" t="s">
        <v>187</v>
      </c>
      <c r="C58" s="24">
        <v>40</v>
      </c>
      <c r="D58" s="28">
        <v>51</v>
      </c>
      <c r="E58" s="29">
        <f t="shared" si="0"/>
        <v>40.85</v>
      </c>
      <c r="F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24">
        <v>56</v>
      </c>
      <c r="B59" s="24" t="s">
        <v>90</v>
      </c>
      <c r="C59" s="24">
        <v>45</v>
      </c>
      <c r="D59" s="28">
        <v>25</v>
      </c>
      <c r="E59" s="29">
        <f t="shared" si="0"/>
        <v>45.416666666666664</v>
      </c>
      <c r="F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24">
        <v>57</v>
      </c>
      <c r="B60" s="24" t="s">
        <v>91</v>
      </c>
      <c r="C60" s="24">
        <v>40</v>
      </c>
      <c r="D60" s="28">
        <v>19</v>
      </c>
      <c r="E60" s="29">
        <f t="shared" si="0"/>
        <v>40.31666666666667</v>
      </c>
      <c r="F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24">
        <v>58</v>
      </c>
      <c r="B61" s="24" t="s">
        <v>92</v>
      </c>
      <c r="C61" s="24">
        <v>39</v>
      </c>
      <c r="D61" s="28">
        <v>54</v>
      </c>
      <c r="E61" s="29">
        <f t="shared" si="0"/>
        <v>39.9</v>
      </c>
      <c r="F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24">
        <v>59</v>
      </c>
      <c r="B62" s="24" t="s">
        <v>95</v>
      </c>
      <c r="C62" s="24">
        <v>45</v>
      </c>
      <c r="D62" s="28">
        <v>24</v>
      </c>
      <c r="E62" s="29">
        <f t="shared" si="0"/>
        <v>45.4</v>
      </c>
      <c r="F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24">
        <v>60</v>
      </c>
      <c r="B63" s="24" t="s">
        <v>93</v>
      </c>
      <c r="C63" s="24">
        <v>38</v>
      </c>
      <c r="D63" s="28">
        <v>7</v>
      </c>
      <c r="E63" s="29">
        <f t="shared" si="0"/>
        <v>38.116666666666667</v>
      </c>
      <c r="F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24">
        <v>61</v>
      </c>
      <c r="B64" s="24" t="s">
        <v>100</v>
      </c>
      <c r="C64" s="24">
        <v>44</v>
      </c>
      <c r="D64" s="28">
        <v>48</v>
      </c>
      <c r="E64" s="29">
        <f t="shared" si="0"/>
        <v>44.8</v>
      </c>
      <c r="F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24">
        <v>62</v>
      </c>
      <c r="B65" s="24" t="s">
        <v>103</v>
      </c>
      <c r="C65" s="24">
        <v>45</v>
      </c>
      <c r="D65" s="28">
        <v>11</v>
      </c>
      <c r="E65" s="29">
        <f t="shared" si="0"/>
        <v>45.18333333333333</v>
      </c>
      <c r="F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24">
        <v>63</v>
      </c>
      <c r="B66" s="24" t="s">
        <v>96</v>
      </c>
      <c r="C66" s="24">
        <v>43</v>
      </c>
      <c r="D66" s="28">
        <v>6</v>
      </c>
      <c r="E66" s="29">
        <f t="shared" si="0"/>
        <v>43.1</v>
      </c>
      <c r="F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24">
        <v>64</v>
      </c>
      <c r="B67" s="24" t="s">
        <v>101</v>
      </c>
      <c r="C67" s="24">
        <v>43</v>
      </c>
      <c r="D67" s="28">
        <v>54</v>
      </c>
      <c r="E67" s="29">
        <f t="shared" si="0"/>
        <v>43.9</v>
      </c>
      <c r="F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24">
        <v>65</v>
      </c>
      <c r="B68" s="24" t="s">
        <v>45</v>
      </c>
      <c r="C68" s="24">
        <v>42</v>
      </c>
      <c r="D68" s="28">
        <v>27</v>
      </c>
      <c r="E68" s="29">
        <f t="shared" si="0"/>
        <v>42.45</v>
      </c>
      <c r="F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24">
        <v>66</v>
      </c>
      <c r="B69" s="24" t="s">
        <v>94</v>
      </c>
      <c r="C69" s="24">
        <v>45</v>
      </c>
      <c r="D69" s="28">
        <v>3</v>
      </c>
      <c r="E69" s="29">
        <f t="shared" ref="E69:E104" si="1">C69+D69*10^-2*(100/60)</f>
        <v>45.05</v>
      </c>
      <c r="F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</row>
    <row r="70" spans="1:44" x14ac:dyDescent="0.25">
      <c r="A70" s="24">
        <v>67</v>
      </c>
      <c r="B70" s="24" t="s">
        <v>97</v>
      </c>
      <c r="C70" s="24">
        <v>43</v>
      </c>
      <c r="D70" s="28">
        <v>42</v>
      </c>
      <c r="E70" s="29">
        <f t="shared" si="1"/>
        <v>43.7</v>
      </c>
      <c r="F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</row>
    <row r="71" spans="1:44" x14ac:dyDescent="0.25">
      <c r="A71" s="24">
        <v>68</v>
      </c>
      <c r="B71" s="24" t="s">
        <v>102</v>
      </c>
      <c r="C71" s="24">
        <v>43</v>
      </c>
      <c r="D71" s="28">
        <v>55</v>
      </c>
      <c r="E71" s="29">
        <f t="shared" si="1"/>
        <v>43.916666666666664</v>
      </c>
      <c r="F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</row>
    <row r="72" spans="1:44" x14ac:dyDescent="0.25">
      <c r="A72" s="24">
        <v>69</v>
      </c>
      <c r="B72" s="24" t="s">
        <v>98</v>
      </c>
      <c r="C72" s="24">
        <v>45</v>
      </c>
      <c r="D72" s="28">
        <v>57</v>
      </c>
      <c r="E72" s="29">
        <f t="shared" si="1"/>
        <v>45.95</v>
      </c>
      <c r="F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</row>
    <row r="73" spans="1:44" x14ac:dyDescent="0.25">
      <c r="A73" s="24">
        <v>70</v>
      </c>
      <c r="B73" s="24" t="s">
        <v>104</v>
      </c>
      <c r="C73" s="24">
        <v>40</v>
      </c>
      <c r="D73" s="28">
        <v>38</v>
      </c>
      <c r="E73" s="29">
        <f t="shared" si="1"/>
        <v>40.633333333333333</v>
      </c>
      <c r="F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</row>
    <row r="74" spans="1:44" x14ac:dyDescent="0.25">
      <c r="A74" s="24">
        <v>71</v>
      </c>
      <c r="B74" s="24" t="s">
        <v>99</v>
      </c>
      <c r="C74" s="24">
        <v>43</v>
      </c>
      <c r="D74" s="28">
        <v>52</v>
      </c>
      <c r="E74" s="29">
        <f t="shared" si="1"/>
        <v>43.866666666666667</v>
      </c>
      <c r="F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</row>
    <row r="75" spans="1:44" x14ac:dyDescent="0.25">
      <c r="A75" s="24">
        <v>72</v>
      </c>
      <c r="B75" s="24" t="s">
        <v>183</v>
      </c>
      <c r="C75" s="24">
        <v>36</v>
      </c>
      <c r="D75" s="28">
        <v>55</v>
      </c>
      <c r="E75" s="29">
        <f t="shared" si="1"/>
        <v>36.916666666666664</v>
      </c>
      <c r="F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</row>
    <row r="76" spans="1:44" x14ac:dyDescent="0.25">
      <c r="A76" s="24">
        <v>73</v>
      </c>
      <c r="B76" s="24" t="s">
        <v>105</v>
      </c>
      <c r="C76" s="24">
        <v>44</v>
      </c>
      <c r="D76" s="28">
        <v>25</v>
      </c>
      <c r="E76" s="29">
        <f t="shared" si="1"/>
        <v>44.416666666666664</v>
      </c>
      <c r="F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</row>
    <row r="77" spans="1:44" x14ac:dyDescent="0.25">
      <c r="A77" s="24">
        <v>74</v>
      </c>
      <c r="B77" s="24" t="s">
        <v>106</v>
      </c>
      <c r="C77" s="24">
        <v>38</v>
      </c>
      <c r="D77" s="28">
        <v>6</v>
      </c>
      <c r="E77" s="29">
        <f t="shared" si="1"/>
        <v>38.1</v>
      </c>
      <c r="F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</row>
    <row r="78" spans="1:44" x14ac:dyDescent="0.25">
      <c r="A78" s="24">
        <v>75</v>
      </c>
      <c r="B78" s="137" t="s">
        <v>129</v>
      </c>
      <c r="C78" s="24">
        <v>44</v>
      </c>
      <c r="D78" s="28">
        <v>41</v>
      </c>
      <c r="E78" s="29">
        <f t="shared" si="1"/>
        <v>44.68333333333333</v>
      </c>
      <c r="F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</row>
    <row r="79" spans="1:44" x14ac:dyDescent="0.25">
      <c r="A79" s="24">
        <v>76</v>
      </c>
      <c r="B79" s="24" t="s">
        <v>107</v>
      </c>
      <c r="C79" s="24">
        <v>42</v>
      </c>
      <c r="D79" s="28">
        <v>24</v>
      </c>
      <c r="E79" s="29">
        <f t="shared" si="1"/>
        <v>42.4</v>
      </c>
      <c r="F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</row>
    <row r="80" spans="1:44" x14ac:dyDescent="0.25">
      <c r="A80" s="24">
        <v>77</v>
      </c>
      <c r="B80" s="24" t="s">
        <v>184</v>
      </c>
      <c r="C80" s="24">
        <v>44</v>
      </c>
      <c r="D80" s="28">
        <v>3</v>
      </c>
      <c r="E80" s="29">
        <f t="shared" si="1"/>
        <v>44.05</v>
      </c>
      <c r="F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</row>
    <row r="81" spans="1:44" x14ac:dyDescent="0.25">
      <c r="A81" s="24">
        <v>78</v>
      </c>
      <c r="B81" s="24" t="s">
        <v>43</v>
      </c>
      <c r="C81" s="24">
        <v>41</v>
      </c>
      <c r="D81" s="28">
        <v>53</v>
      </c>
      <c r="E81" s="29">
        <f t="shared" si="1"/>
        <v>41.883333333333333</v>
      </c>
      <c r="F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</row>
    <row r="82" spans="1:44" x14ac:dyDescent="0.25">
      <c r="A82" s="24">
        <v>79</v>
      </c>
      <c r="B82" s="24" t="s">
        <v>182</v>
      </c>
      <c r="C82" s="24">
        <v>45</v>
      </c>
      <c r="D82" s="28">
        <v>4</v>
      </c>
      <c r="E82" s="29">
        <f t="shared" si="1"/>
        <v>45.06666666666667</v>
      </c>
      <c r="F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</row>
    <row r="83" spans="1:44" x14ac:dyDescent="0.25">
      <c r="A83" s="24">
        <v>80</v>
      </c>
      <c r="B83" s="24" t="s">
        <v>108</v>
      </c>
      <c r="C83" s="24">
        <v>40</v>
      </c>
      <c r="D83" s="28">
        <v>40</v>
      </c>
      <c r="E83" s="29">
        <f t="shared" si="1"/>
        <v>40.666666666666664</v>
      </c>
      <c r="F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</row>
    <row r="84" spans="1:44" x14ac:dyDescent="0.25">
      <c r="A84" s="24">
        <v>81</v>
      </c>
      <c r="B84" s="24" t="s">
        <v>112</v>
      </c>
      <c r="C84" s="24">
        <v>40</v>
      </c>
      <c r="D84" s="28">
        <v>43</v>
      </c>
      <c r="E84" s="29">
        <f t="shared" si="1"/>
        <v>40.716666666666669</v>
      </c>
      <c r="F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</row>
    <row r="85" spans="1:44" x14ac:dyDescent="0.25">
      <c r="A85" s="24">
        <v>82</v>
      </c>
      <c r="B85" s="24" t="s">
        <v>113</v>
      </c>
      <c r="C85" s="24">
        <v>44</v>
      </c>
      <c r="D85" s="28">
        <v>18</v>
      </c>
      <c r="E85" s="29">
        <f t="shared" si="1"/>
        <v>44.3</v>
      </c>
      <c r="F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</row>
    <row r="86" spans="1:44" x14ac:dyDescent="0.25">
      <c r="A86" s="24">
        <v>83</v>
      </c>
      <c r="B86" s="24" t="s">
        <v>109</v>
      </c>
      <c r="C86" s="24">
        <v>43</v>
      </c>
      <c r="D86" s="28">
        <v>19</v>
      </c>
      <c r="E86" s="29">
        <f t="shared" si="1"/>
        <v>43.31666666666667</v>
      </c>
      <c r="F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</row>
    <row r="87" spans="1:44" x14ac:dyDescent="0.25">
      <c r="A87" s="24">
        <v>84</v>
      </c>
      <c r="B87" s="24" t="s">
        <v>111</v>
      </c>
      <c r="C87" s="24">
        <v>37</v>
      </c>
      <c r="D87" s="28">
        <v>4</v>
      </c>
      <c r="E87" s="29">
        <f t="shared" si="1"/>
        <v>37.06666666666667</v>
      </c>
      <c r="F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</row>
    <row r="88" spans="1:44" x14ac:dyDescent="0.25">
      <c r="A88" s="24">
        <v>85</v>
      </c>
      <c r="B88" s="26" t="s">
        <v>188</v>
      </c>
      <c r="C88" s="24">
        <v>46</v>
      </c>
      <c r="D88" s="28">
        <v>10</v>
      </c>
      <c r="E88" s="29">
        <f t="shared" si="1"/>
        <v>46.166666666666664</v>
      </c>
      <c r="F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</row>
    <row r="89" spans="1:44" x14ac:dyDescent="0.25">
      <c r="A89" s="24">
        <v>86</v>
      </c>
      <c r="B89" s="24" t="s">
        <v>114</v>
      </c>
      <c r="C89" s="24">
        <v>40</v>
      </c>
      <c r="D89" s="28">
        <v>27</v>
      </c>
      <c r="E89" s="29">
        <f t="shared" si="1"/>
        <v>40.450000000000003</v>
      </c>
      <c r="F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</row>
    <row r="90" spans="1:44" x14ac:dyDescent="0.25">
      <c r="A90" s="24">
        <v>87</v>
      </c>
      <c r="B90" s="24" t="s">
        <v>115</v>
      </c>
      <c r="C90" s="24">
        <v>42</v>
      </c>
      <c r="D90" s="28">
        <v>39</v>
      </c>
      <c r="E90" s="29">
        <f t="shared" si="1"/>
        <v>42.65</v>
      </c>
      <c r="F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</row>
    <row r="91" spans="1:44" x14ac:dyDescent="0.25">
      <c r="A91" s="24">
        <v>88</v>
      </c>
      <c r="B91" s="24" t="s">
        <v>118</v>
      </c>
      <c r="C91" s="24">
        <v>42</v>
      </c>
      <c r="D91" s="28">
        <v>33</v>
      </c>
      <c r="E91" s="29">
        <f t="shared" si="1"/>
        <v>42.55</v>
      </c>
      <c r="F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</row>
    <row r="92" spans="1:44" x14ac:dyDescent="0.25">
      <c r="A92" s="24">
        <v>89</v>
      </c>
      <c r="B92" s="26" t="s">
        <v>189</v>
      </c>
      <c r="C92" s="24">
        <v>45</v>
      </c>
      <c r="D92" s="28">
        <v>7</v>
      </c>
      <c r="E92" s="29">
        <f t="shared" si="1"/>
        <v>45.116666666666667</v>
      </c>
      <c r="F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</row>
    <row r="93" spans="1:44" x14ac:dyDescent="0.25">
      <c r="A93" s="24">
        <v>90</v>
      </c>
      <c r="B93" s="24" t="s">
        <v>117</v>
      </c>
      <c r="C93" s="24">
        <v>38</v>
      </c>
      <c r="D93" s="28">
        <v>1</v>
      </c>
      <c r="E93" s="29">
        <f t="shared" si="1"/>
        <v>38.016666666666666</v>
      </c>
      <c r="F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</row>
    <row r="94" spans="1:44" x14ac:dyDescent="0.25">
      <c r="A94" s="24">
        <v>91</v>
      </c>
      <c r="B94" s="24" t="s">
        <v>116</v>
      </c>
      <c r="C94" s="24">
        <v>46</v>
      </c>
      <c r="D94" s="28">
        <v>3</v>
      </c>
      <c r="E94" s="29">
        <f t="shared" si="1"/>
        <v>46.05</v>
      </c>
      <c r="F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</row>
    <row r="95" spans="1:44" x14ac:dyDescent="0.25">
      <c r="A95" s="24">
        <v>92</v>
      </c>
      <c r="B95" s="24" t="s">
        <v>120</v>
      </c>
      <c r="C95" s="24">
        <v>45</v>
      </c>
      <c r="D95" s="28">
        <v>40</v>
      </c>
      <c r="E95" s="29">
        <f t="shared" si="1"/>
        <v>45.666666666666664</v>
      </c>
      <c r="F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</row>
    <row r="96" spans="1:44" x14ac:dyDescent="0.25">
      <c r="A96" s="24">
        <v>93</v>
      </c>
      <c r="B96" s="24" t="s">
        <v>119</v>
      </c>
      <c r="C96" s="24">
        <v>45</v>
      </c>
      <c r="D96" s="28">
        <v>39</v>
      </c>
      <c r="E96" s="29">
        <f t="shared" si="1"/>
        <v>45.65</v>
      </c>
      <c r="F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</row>
    <row r="97" spans="1:44" x14ac:dyDescent="0.25">
      <c r="A97" s="24">
        <v>94</v>
      </c>
      <c r="B97" s="24" t="s">
        <v>121</v>
      </c>
      <c r="C97" s="24">
        <v>46</v>
      </c>
      <c r="D97" s="28">
        <v>3</v>
      </c>
      <c r="E97" s="29">
        <f t="shared" si="1"/>
        <v>46.05</v>
      </c>
      <c r="F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</row>
    <row r="98" spans="1:44" x14ac:dyDescent="0.25">
      <c r="A98" s="24">
        <v>95</v>
      </c>
      <c r="B98" s="24" t="s">
        <v>122</v>
      </c>
      <c r="C98" s="24">
        <v>45</v>
      </c>
      <c r="D98" s="28">
        <v>49</v>
      </c>
      <c r="E98" s="29">
        <f t="shared" si="1"/>
        <v>45.81666666666667</v>
      </c>
      <c r="F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</row>
    <row r="99" spans="1:44" x14ac:dyDescent="0.25">
      <c r="A99" s="24">
        <v>96</v>
      </c>
      <c r="B99" s="24" t="s">
        <v>125</v>
      </c>
      <c r="C99" s="24">
        <v>45</v>
      </c>
      <c r="D99" s="28">
        <v>26</v>
      </c>
      <c r="E99" s="29">
        <f t="shared" si="1"/>
        <v>45.43333333333333</v>
      </c>
      <c r="F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</row>
    <row r="100" spans="1:44" x14ac:dyDescent="0.25">
      <c r="A100" s="24">
        <v>97</v>
      </c>
      <c r="B100" s="24" t="s">
        <v>123</v>
      </c>
      <c r="C100" s="24">
        <v>45</v>
      </c>
      <c r="D100" s="28">
        <v>55</v>
      </c>
      <c r="E100" s="29">
        <f t="shared" si="1"/>
        <v>45.916666666666664</v>
      </c>
      <c r="F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</row>
    <row r="101" spans="1:44" x14ac:dyDescent="0.25">
      <c r="A101" s="24">
        <v>98</v>
      </c>
      <c r="B101" s="24" t="s">
        <v>124</v>
      </c>
      <c r="C101" s="24">
        <v>45</v>
      </c>
      <c r="D101" s="28">
        <v>19</v>
      </c>
      <c r="E101" s="29">
        <f t="shared" si="1"/>
        <v>45.31666666666667</v>
      </c>
      <c r="F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</row>
    <row r="102" spans="1:44" x14ac:dyDescent="0.25">
      <c r="A102" s="24">
        <v>99</v>
      </c>
      <c r="B102" s="24" t="s">
        <v>127</v>
      </c>
      <c r="C102" s="24">
        <v>45</v>
      </c>
      <c r="D102" s="28">
        <v>26</v>
      </c>
      <c r="E102" s="29">
        <f t="shared" si="1"/>
        <v>45.43333333333333</v>
      </c>
      <c r="F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</row>
    <row r="103" spans="1:44" x14ac:dyDescent="0.25">
      <c r="A103" s="24">
        <v>100</v>
      </c>
      <c r="B103" s="24" t="s">
        <v>126</v>
      </c>
      <c r="C103" s="24">
        <v>45</v>
      </c>
      <c r="D103" s="28">
        <v>32</v>
      </c>
      <c r="E103" s="29">
        <f t="shared" si="1"/>
        <v>45.533333333333331</v>
      </c>
      <c r="F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</row>
    <row r="104" spans="1:44" x14ac:dyDescent="0.25">
      <c r="A104" s="24">
        <v>101</v>
      </c>
      <c r="B104" s="24" t="s">
        <v>128</v>
      </c>
      <c r="C104" s="24">
        <v>42</v>
      </c>
      <c r="D104" s="28">
        <v>25</v>
      </c>
      <c r="E104" s="29">
        <f t="shared" si="1"/>
        <v>42.416666666666664</v>
      </c>
      <c r="F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</row>
    <row r="105" spans="1:44" x14ac:dyDescent="0.25">
      <c r="Z105" s="46"/>
      <c r="AJ105" s="46"/>
    </row>
    <row r="106" spans="1:44" x14ac:dyDescent="0.25">
      <c r="AJ106" s="46"/>
    </row>
  </sheetData>
  <sheetProtection password="F4FE" sheet="1" objects="1" scenarios="1" selectLockedCells="1" selectUnlockedCells="1"/>
  <sortState ref="B4:B104">
    <sortCondition ref="B4"/>
  </sortState>
  <mergeCells count="16">
    <mergeCell ref="A1:A3"/>
    <mergeCell ref="B1:B3"/>
    <mergeCell ref="C1:E1"/>
    <mergeCell ref="C2:D2"/>
    <mergeCell ref="G24:G25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88"/>
  <sheetViews>
    <sheetView zoomScale="80" zoomScaleNormal="80" zoomScalePageLayoutView="80" workbookViewId="0">
      <selection sqref="A1:AD1"/>
    </sheetView>
  </sheetViews>
  <sheetFormatPr defaultColWidth="8.85546875" defaultRowHeight="15" x14ac:dyDescent="0.25"/>
  <cols>
    <col min="1" max="1" width="29.85546875" style="63" customWidth="1"/>
    <col min="2" max="2" width="5.42578125" style="62" customWidth="1"/>
    <col min="3" max="4" width="7.7109375" style="62" customWidth="1"/>
    <col min="5" max="5" width="9.28515625" style="62" customWidth="1"/>
    <col min="6" max="6" width="7.85546875" style="62" customWidth="1"/>
    <col min="7" max="7" width="8.7109375" style="62" customWidth="1"/>
    <col min="8" max="8" width="8.42578125" style="62" customWidth="1"/>
    <col min="9" max="9" width="9" style="62" customWidth="1"/>
    <col min="10" max="10" width="7.85546875" style="62" customWidth="1"/>
    <col min="11" max="11" width="7.28515625" style="62" bestFit="1" customWidth="1"/>
    <col min="12" max="12" width="7" style="62" customWidth="1"/>
    <col min="13" max="14" width="7.42578125" style="62" customWidth="1"/>
    <col min="15" max="15" width="9.42578125" style="62" customWidth="1"/>
    <col min="16" max="16" width="8.42578125" style="62" customWidth="1"/>
    <col min="17" max="17" width="9.42578125" style="62" customWidth="1"/>
    <col min="18" max="18" width="10.7109375" style="62" bestFit="1" customWidth="1"/>
    <col min="19" max="19" width="10.85546875" style="62" hidden="1" customWidth="1"/>
    <col min="20" max="20" width="9.85546875" style="62" hidden="1" customWidth="1"/>
    <col min="21" max="21" width="10.42578125" style="60" hidden="1" customWidth="1"/>
    <col min="22" max="22" width="8.85546875" style="60" hidden="1" customWidth="1"/>
    <col min="23" max="23" width="7.85546875" style="60" hidden="1" customWidth="1"/>
    <col min="24" max="25" width="8.42578125" style="60" hidden="1" customWidth="1"/>
    <col min="26" max="26" width="10.42578125" style="60" hidden="1" customWidth="1"/>
    <col min="27" max="27" width="12.42578125" style="60" hidden="1" customWidth="1"/>
    <col min="28" max="28" width="14.7109375" style="60" hidden="1" customWidth="1"/>
    <col min="29" max="29" width="11.7109375" style="60" hidden="1" customWidth="1"/>
    <col min="30" max="30" width="9.7109375" style="60" hidden="1" customWidth="1"/>
    <col min="31" max="32" width="11.28515625" style="61" customWidth="1"/>
    <col min="33" max="33" width="11.28515625" style="60" customWidth="1"/>
    <col min="34" max="34" width="26" style="60" customWidth="1"/>
    <col min="35" max="35" width="15.140625" style="60" customWidth="1"/>
    <col min="36" max="16384" width="8.85546875" style="60"/>
  </cols>
  <sheetData>
    <row r="1" spans="1:35" x14ac:dyDescent="0.25">
      <c r="A1" s="174" t="s">
        <v>395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</row>
    <row r="2" spans="1:35" ht="15" customHeight="1" x14ac:dyDescent="0.35">
      <c r="A2" s="71" t="s">
        <v>240</v>
      </c>
      <c r="B2" s="71" t="s">
        <v>195</v>
      </c>
      <c r="C2" s="71" t="s">
        <v>239</v>
      </c>
      <c r="D2" s="71" t="s">
        <v>238</v>
      </c>
      <c r="E2" s="71" t="s">
        <v>237</v>
      </c>
      <c r="F2" s="71" t="s">
        <v>236</v>
      </c>
      <c r="G2" s="71" t="s">
        <v>235</v>
      </c>
      <c r="H2" s="71" t="s">
        <v>234</v>
      </c>
      <c r="I2" s="71" t="s">
        <v>233</v>
      </c>
      <c r="J2" s="71" t="s">
        <v>232</v>
      </c>
      <c r="K2" s="71" t="s">
        <v>231</v>
      </c>
      <c r="L2" s="71" t="s">
        <v>230</v>
      </c>
      <c r="M2" s="71" t="s">
        <v>229</v>
      </c>
      <c r="N2" s="71" t="s">
        <v>228</v>
      </c>
      <c r="O2" s="71" t="s">
        <v>227</v>
      </c>
      <c r="P2" s="71" t="s">
        <v>226</v>
      </c>
      <c r="Q2" s="71" t="s">
        <v>225</v>
      </c>
      <c r="R2" s="71" t="s">
        <v>224</v>
      </c>
      <c r="S2" s="71" t="s">
        <v>223</v>
      </c>
      <c r="T2" s="69" t="s">
        <v>222</v>
      </c>
      <c r="U2" s="69" t="s">
        <v>221</v>
      </c>
      <c r="V2" s="69" t="s">
        <v>220</v>
      </c>
      <c r="W2" s="69" t="s">
        <v>219</v>
      </c>
      <c r="X2" s="69" t="s">
        <v>218</v>
      </c>
      <c r="Y2" s="69" t="s">
        <v>217</v>
      </c>
      <c r="Z2" s="69" t="s">
        <v>216</v>
      </c>
      <c r="AA2" s="73" t="s">
        <v>215</v>
      </c>
      <c r="AB2" s="69" t="s">
        <v>214</v>
      </c>
      <c r="AC2" s="69" t="s">
        <v>213</v>
      </c>
      <c r="AD2" s="69" t="s">
        <v>212</v>
      </c>
      <c r="AF2" s="80"/>
      <c r="AG2" s="80"/>
    </row>
    <row r="3" spans="1:35" ht="15" customHeight="1" x14ac:dyDescent="0.25">
      <c r="A3" s="72"/>
      <c r="B3" s="71" t="s">
        <v>211</v>
      </c>
      <c r="C3" s="71" t="s">
        <v>210</v>
      </c>
      <c r="D3" s="71" t="s">
        <v>204</v>
      </c>
      <c r="E3" s="71" t="s">
        <v>204</v>
      </c>
      <c r="F3" s="71" t="s">
        <v>204</v>
      </c>
      <c r="G3" s="71" t="s">
        <v>204</v>
      </c>
      <c r="H3" s="71" t="s">
        <v>204</v>
      </c>
      <c r="I3" s="71" t="s">
        <v>204</v>
      </c>
      <c r="J3" s="71" t="s">
        <v>204</v>
      </c>
      <c r="K3" s="71" t="s">
        <v>206</v>
      </c>
      <c r="L3" s="71" t="s">
        <v>209</v>
      </c>
      <c r="M3" s="71" t="s">
        <v>209</v>
      </c>
      <c r="N3" s="71" t="s">
        <v>208</v>
      </c>
      <c r="O3" s="71" t="s">
        <v>204</v>
      </c>
      <c r="P3" s="71" t="s">
        <v>204</v>
      </c>
      <c r="Q3" s="71" t="s">
        <v>204</v>
      </c>
      <c r="R3" s="71" t="s">
        <v>206</v>
      </c>
      <c r="S3" s="71" t="s">
        <v>207</v>
      </c>
      <c r="T3" s="69" t="s">
        <v>204</v>
      </c>
      <c r="U3" s="69" t="s">
        <v>204</v>
      </c>
      <c r="V3" s="69" t="s">
        <v>206</v>
      </c>
      <c r="W3" s="69" t="s">
        <v>4</v>
      </c>
      <c r="X3" s="69" t="s">
        <v>204</v>
      </c>
      <c r="Y3" s="69" t="s">
        <v>204</v>
      </c>
      <c r="Z3" s="69" t="s">
        <v>205</v>
      </c>
      <c r="AA3" s="70"/>
      <c r="AB3" s="69" t="s">
        <v>4</v>
      </c>
      <c r="AC3" s="69" t="s">
        <v>205</v>
      </c>
      <c r="AD3" s="69" t="s">
        <v>204</v>
      </c>
      <c r="AE3" s="118"/>
      <c r="AF3" s="80"/>
      <c r="AG3" s="80"/>
      <c r="AH3" s="117"/>
      <c r="AI3" s="116"/>
    </row>
    <row r="4" spans="1:35" ht="15" customHeight="1" x14ac:dyDescent="0.25">
      <c r="A4" s="68" t="s">
        <v>394</v>
      </c>
      <c r="B4" s="115">
        <v>3</v>
      </c>
      <c r="C4" s="114">
        <v>8.6</v>
      </c>
      <c r="D4" s="108">
        <v>31.666390280373786</v>
      </c>
      <c r="E4" s="108">
        <v>35.034175794392581</v>
      </c>
      <c r="F4" s="108">
        <v>33.378146915887868</v>
      </c>
      <c r="G4" s="108">
        <v>32.080734018691587</v>
      </c>
      <c r="H4" s="108">
        <v>116.53267009345795</v>
      </c>
      <c r="I4" s="108">
        <v>114.30115158878499</v>
      </c>
      <c r="J4" s="108">
        <v>30.102478878504652</v>
      </c>
      <c r="K4" s="108">
        <v>50.63803121495328</v>
      </c>
      <c r="L4" s="108">
        <v>3.0187745794392673</v>
      </c>
      <c r="M4" s="108">
        <v>3.003098504672896</v>
      </c>
      <c r="N4" s="108">
        <v>7.5216558878504829</v>
      </c>
      <c r="O4" s="113">
        <v>24.79828644859812</v>
      </c>
      <c r="P4" s="113">
        <v>24.282792897196249</v>
      </c>
      <c r="Q4" s="113">
        <v>24.268944579439228</v>
      </c>
      <c r="R4" s="113">
        <v>29.430442523364469</v>
      </c>
      <c r="S4" s="113">
        <v>4.4068224299065324E-2</v>
      </c>
      <c r="T4" s="113">
        <f t="shared" ref="T4:T35" si="0">H4-I4</f>
        <v>2.2315185046729624</v>
      </c>
      <c r="U4" s="110">
        <f t="shared" ref="U4:U35" si="1">E4-D4</f>
        <v>3.3677855140187951</v>
      </c>
      <c r="V4" s="110">
        <f t="shared" ref="V4:V35" si="2">(K4+R4)/2</f>
        <v>40.034236869158875</v>
      </c>
      <c r="W4" s="112">
        <f t="shared" ref="W4:W35" si="3">V4/(PI()*0.006*1.24)</f>
        <v>1712.8082501716233</v>
      </c>
      <c r="X4" s="111">
        <f t="shared" ref="X4:X35" si="4">(I4+H4)/2</f>
        <v>115.41691084112148</v>
      </c>
      <c r="Y4" s="111">
        <f t="shared" ref="Y4:Y35" si="5">I4</f>
        <v>114.30115158878499</v>
      </c>
      <c r="Z4" s="110">
        <f t="shared" ref="Z4:Z35" si="6">W4/(X4-I4)</f>
        <v>1535.1055763910244</v>
      </c>
      <c r="AA4" s="109">
        <f t="shared" ref="AA4:AA35" si="7">R4/K4</f>
        <v>0.58119247169060029</v>
      </c>
      <c r="AB4" s="108">
        <f t="shared" ref="AB4:AB35" si="8">V4/(PI()*0.006*0.007)</f>
        <v>303411.74717325898</v>
      </c>
      <c r="AC4" s="107">
        <f t="shared" ref="AC4:AC35" si="9">AB4/(I4-AD4)</f>
        <v>4230.2769079552572</v>
      </c>
      <c r="AD4" s="101">
        <v>42.577301407091852</v>
      </c>
    </row>
    <row r="5" spans="1:35" ht="15" customHeight="1" x14ac:dyDescent="0.25">
      <c r="A5" s="68" t="s">
        <v>393</v>
      </c>
      <c r="B5" s="115">
        <v>3</v>
      </c>
      <c r="C5" s="114">
        <v>8.6</v>
      </c>
      <c r="D5" s="108">
        <v>30.509907425742576</v>
      </c>
      <c r="E5" s="108">
        <v>34.896974455445559</v>
      </c>
      <c r="F5" s="108">
        <v>32.78407277227722</v>
      </c>
      <c r="G5" s="108">
        <v>31.425857227722748</v>
      </c>
      <c r="H5" s="108">
        <v>119.05911653465341</v>
      </c>
      <c r="I5" s="108">
        <v>116.12245524752475</v>
      </c>
      <c r="J5" s="108">
        <v>28.074630792079169</v>
      </c>
      <c r="K5" s="108">
        <v>60.425986732673294</v>
      </c>
      <c r="L5" s="108">
        <v>3.0182883168316517</v>
      </c>
      <c r="M5" s="108">
        <v>3.0029447524752451</v>
      </c>
      <c r="N5" s="108">
        <v>7.5138993069307007</v>
      </c>
      <c r="O5" s="113">
        <v>21.731678118811907</v>
      </c>
      <c r="P5" s="113">
        <v>22.13673188118813</v>
      </c>
      <c r="Q5" s="113">
        <v>21.473364455445523</v>
      </c>
      <c r="R5" s="113">
        <v>38.299823861386109</v>
      </c>
      <c r="S5" s="113">
        <v>4.8596732673267279E-2</v>
      </c>
      <c r="T5" s="113">
        <f t="shared" si="0"/>
        <v>2.9366612871286577</v>
      </c>
      <c r="U5" s="110">
        <f t="shared" si="1"/>
        <v>4.3870670297029832</v>
      </c>
      <c r="V5" s="110">
        <f t="shared" si="2"/>
        <v>49.362905297029698</v>
      </c>
      <c r="W5" s="112">
        <f t="shared" si="3"/>
        <v>2111.9221460751023</v>
      </c>
      <c r="X5" s="111">
        <f t="shared" si="4"/>
        <v>117.59078589108908</v>
      </c>
      <c r="Y5" s="111">
        <f t="shared" si="5"/>
        <v>116.12245524752475</v>
      </c>
      <c r="Z5" s="110">
        <f t="shared" si="6"/>
        <v>1438.3151065678737</v>
      </c>
      <c r="AA5" s="109">
        <f t="shared" si="7"/>
        <v>0.63383034241254321</v>
      </c>
      <c r="AB5" s="108">
        <f t="shared" si="8"/>
        <v>374111.92301901808</v>
      </c>
      <c r="AC5" s="107">
        <f t="shared" si="9"/>
        <v>5237.0710114035983</v>
      </c>
      <c r="AD5" s="101">
        <v>44.687120075555882</v>
      </c>
    </row>
    <row r="6" spans="1:35" ht="15" customHeight="1" x14ac:dyDescent="0.25">
      <c r="A6" s="68" t="s">
        <v>392</v>
      </c>
      <c r="B6" s="115">
        <v>3</v>
      </c>
      <c r="C6" s="114">
        <v>8.6</v>
      </c>
      <c r="D6" s="108">
        <v>26.450345563549199</v>
      </c>
      <c r="E6" s="108">
        <v>32.056193285371691</v>
      </c>
      <c r="F6" s="108">
        <v>29.920697961630708</v>
      </c>
      <c r="G6" s="108">
        <v>25.67865335731415</v>
      </c>
      <c r="H6" s="108">
        <v>119.03839568345329</v>
      </c>
      <c r="I6" s="108">
        <v>117.11702110311768</v>
      </c>
      <c r="J6" s="108">
        <v>25.528060431654648</v>
      </c>
      <c r="K6" s="108">
        <v>69.929464148680964</v>
      </c>
      <c r="L6" s="108">
        <v>3.0194562350119956</v>
      </c>
      <c r="M6" s="108">
        <v>3.0037769784172723</v>
      </c>
      <c r="N6" s="108">
        <v>7.3094824940047944</v>
      </c>
      <c r="O6" s="113">
        <v>18.678377218225418</v>
      </c>
      <c r="P6" s="113">
        <v>18.608034532374095</v>
      </c>
      <c r="Q6" s="113">
        <v>18.400200479616302</v>
      </c>
      <c r="R6" s="113">
        <v>47.620156954436389</v>
      </c>
      <c r="S6" s="113">
        <v>2.7478297362110264E-2</v>
      </c>
      <c r="T6" s="113">
        <f t="shared" si="0"/>
        <v>1.921374580335609</v>
      </c>
      <c r="U6" s="110">
        <f t="shared" si="1"/>
        <v>5.6058477218224922</v>
      </c>
      <c r="V6" s="110">
        <f t="shared" si="2"/>
        <v>58.774810551558673</v>
      </c>
      <c r="W6" s="112">
        <f t="shared" si="3"/>
        <v>2514.59721198125</v>
      </c>
      <c r="X6" s="111">
        <f t="shared" si="4"/>
        <v>118.07770839328549</v>
      </c>
      <c r="Y6" s="111">
        <f t="shared" si="5"/>
        <v>117.11702110311768</v>
      </c>
      <c r="Z6" s="110">
        <f t="shared" si="6"/>
        <v>2617.4981575346992</v>
      </c>
      <c r="AA6" s="109">
        <f t="shared" si="7"/>
        <v>0.68097414350535412</v>
      </c>
      <c r="AB6" s="108">
        <f t="shared" si="8"/>
        <v>445442.93469382141</v>
      </c>
      <c r="AC6" s="107">
        <f t="shared" si="9"/>
        <v>6132.6497567209008</v>
      </c>
      <c r="AD6" s="101">
        <v>44.482360334230449</v>
      </c>
      <c r="AG6" s="119"/>
      <c r="AH6" s="119"/>
    </row>
    <row r="7" spans="1:35" s="89" customFormat="1" ht="15" customHeight="1" x14ac:dyDescent="0.25">
      <c r="A7" s="68" t="s">
        <v>391</v>
      </c>
      <c r="B7" s="97">
        <v>3</v>
      </c>
      <c r="C7" s="98">
        <v>8.6</v>
      </c>
      <c r="D7" s="91">
        <v>33.085660215053764</v>
      </c>
      <c r="E7" s="91">
        <v>38.442294623655897</v>
      </c>
      <c r="F7" s="91">
        <v>36.22837526881721</v>
      </c>
      <c r="G7" s="91">
        <v>34.282824731182821</v>
      </c>
      <c r="H7" s="91">
        <v>123.6903580645161</v>
      </c>
      <c r="I7" s="91">
        <v>119.23557741935484</v>
      </c>
      <c r="J7" s="91">
        <v>30.551029032258064</v>
      </c>
      <c r="K7" s="91">
        <v>69.922033333333346</v>
      </c>
      <c r="L7" s="91">
        <v>3.0298279569892457</v>
      </c>
      <c r="M7" s="91">
        <v>3.014681720430108</v>
      </c>
      <c r="N7" s="91">
        <v>7.5079752688172015</v>
      </c>
      <c r="O7" s="96">
        <v>23.827353763440854</v>
      </c>
      <c r="P7" s="96">
        <v>24.071315053763442</v>
      </c>
      <c r="Q7" s="96">
        <v>23.258255913978491</v>
      </c>
      <c r="R7" s="96">
        <v>46.723605376344082</v>
      </c>
      <c r="S7" s="96">
        <v>6.3711827956989264E-2</v>
      </c>
      <c r="T7" s="96">
        <f t="shared" si="0"/>
        <v>4.4547806451612644</v>
      </c>
      <c r="U7" s="93">
        <f t="shared" si="1"/>
        <v>5.3566344086021331</v>
      </c>
      <c r="V7" s="93">
        <f t="shared" si="2"/>
        <v>58.322819354838714</v>
      </c>
      <c r="W7" s="95">
        <f t="shared" si="3"/>
        <v>2495.2594073597438</v>
      </c>
      <c r="X7" s="94">
        <f t="shared" si="4"/>
        <v>121.46296774193547</v>
      </c>
      <c r="Y7" s="94">
        <f t="shared" si="5"/>
        <v>119.23557741935484</v>
      </c>
      <c r="Z7" s="93">
        <f t="shared" si="6"/>
        <v>1120.2614028010867</v>
      </c>
      <c r="AA7" s="92">
        <f t="shared" si="7"/>
        <v>0.66822435145160353</v>
      </c>
      <c r="AB7" s="91">
        <f t="shared" si="8"/>
        <v>442017.38073229743</v>
      </c>
      <c r="AC7" s="91">
        <f t="shared" si="9"/>
        <v>6394.0596163216414</v>
      </c>
      <c r="AD7" s="101">
        <v>50.106196829284563</v>
      </c>
      <c r="AE7" s="61"/>
      <c r="AF7" s="61"/>
    </row>
    <row r="8" spans="1:35" s="89" customFormat="1" ht="15" customHeight="1" x14ac:dyDescent="0.25">
      <c r="A8" s="68" t="s">
        <v>390</v>
      </c>
      <c r="B8" s="97">
        <v>3</v>
      </c>
      <c r="C8" s="98">
        <v>8.6</v>
      </c>
      <c r="D8" s="91">
        <v>33.326478349282326</v>
      </c>
      <c r="E8" s="91">
        <v>38.85126267942583</v>
      </c>
      <c r="F8" s="91">
        <v>36.386936244019097</v>
      </c>
      <c r="G8" s="91">
        <v>34.292501674641137</v>
      </c>
      <c r="H8" s="91">
        <v>120.55319509569375</v>
      </c>
      <c r="I8" s="91">
        <v>119.10684246411493</v>
      </c>
      <c r="J8" s="91">
        <v>30.158526794258346</v>
      </c>
      <c r="K8" s="91">
        <v>69.658241267942614</v>
      </c>
      <c r="L8" s="91">
        <v>3.0305602870813582</v>
      </c>
      <c r="M8" s="91">
        <v>3.0150080143540654</v>
      </c>
      <c r="N8" s="91">
        <v>7.3302783492822998</v>
      </c>
      <c r="O8" s="96">
        <v>23.598699162679416</v>
      </c>
      <c r="P8" s="96">
        <v>23.270593540669882</v>
      </c>
      <c r="Q8" s="96">
        <v>23.08389066985643</v>
      </c>
      <c r="R8" s="96">
        <v>47.049615071770305</v>
      </c>
      <c r="S8" s="96">
        <v>2.0764354066985624E-2</v>
      </c>
      <c r="T8" s="96">
        <f t="shared" si="0"/>
        <v>1.4463526315788187</v>
      </c>
      <c r="U8" s="93">
        <f t="shared" si="1"/>
        <v>5.524784330143504</v>
      </c>
      <c r="V8" s="93">
        <f t="shared" si="2"/>
        <v>58.353928169856459</v>
      </c>
      <c r="W8" s="95">
        <f t="shared" si="3"/>
        <v>2496.5903540489389</v>
      </c>
      <c r="X8" s="94">
        <f t="shared" si="4"/>
        <v>119.83001877990435</v>
      </c>
      <c r="Y8" s="94">
        <f t="shared" si="5"/>
        <v>119.10684246411493</v>
      </c>
      <c r="Z8" s="93">
        <f t="shared" si="6"/>
        <v>3452.2568003677925</v>
      </c>
      <c r="AA8" s="92">
        <f t="shared" si="7"/>
        <v>0.67543501264685224</v>
      </c>
      <c r="AB8" s="91">
        <f t="shared" si="8"/>
        <v>442253.14843152626</v>
      </c>
      <c r="AC8" s="91">
        <f t="shared" si="9"/>
        <v>6459.6843594134934</v>
      </c>
      <c r="AD8" s="101">
        <v>50.643257585227659</v>
      </c>
      <c r="AE8" s="61"/>
      <c r="AF8" s="61"/>
      <c r="AH8" s="106"/>
    </row>
    <row r="9" spans="1:35" s="89" customFormat="1" ht="15" customHeight="1" x14ac:dyDescent="0.25">
      <c r="A9" s="68" t="s">
        <v>389</v>
      </c>
      <c r="B9" s="97">
        <v>3</v>
      </c>
      <c r="C9" s="98">
        <v>8.6</v>
      </c>
      <c r="D9" s="91">
        <v>32.825794899999991</v>
      </c>
      <c r="E9" s="91">
        <v>39.214499199999992</v>
      </c>
      <c r="F9" s="91">
        <v>36.617189099999948</v>
      </c>
      <c r="G9" s="91">
        <v>34.519860800000053</v>
      </c>
      <c r="H9" s="91">
        <v>124.91245269999987</v>
      </c>
      <c r="I9" s="91">
        <v>121.54274210000001</v>
      </c>
      <c r="J9" s="91">
        <v>29.652918599999996</v>
      </c>
      <c r="K9" s="91">
        <v>79.84921509999991</v>
      </c>
      <c r="L9" s="91">
        <v>3.0387479000000162</v>
      </c>
      <c r="M9" s="91">
        <v>3.0231587999999978</v>
      </c>
      <c r="N9" s="91">
        <v>7.5126508000000163</v>
      </c>
      <c r="O9" s="96">
        <v>22.55956740000002</v>
      </c>
      <c r="P9" s="96">
        <v>22.790371000000007</v>
      </c>
      <c r="Q9" s="96">
        <v>22.062698199999986</v>
      </c>
      <c r="R9" s="96">
        <v>55.760947700000038</v>
      </c>
      <c r="S9" s="96">
        <v>4.2201999999999969E-2</v>
      </c>
      <c r="T9" s="96">
        <f t="shared" si="0"/>
        <v>3.3697105999998627</v>
      </c>
      <c r="U9" s="93">
        <f t="shared" si="1"/>
        <v>6.3887043000000006</v>
      </c>
      <c r="V9" s="93">
        <f t="shared" si="2"/>
        <v>67.805081399999978</v>
      </c>
      <c r="W9" s="95">
        <f t="shared" si="3"/>
        <v>2900.9445891285827</v>
      </c>
      <c r="X9" s="94">
        <f t="shared" si="4"/>
        <v>123.22759739999995</v>
      </c>
      <c r="Y9" s="94">
        <f t="shared" si="5"/>
        <v>121.54274210000001</v>
      </c>
      <c r="Z9" s="93">
        <f t="shared" si="6"/>
        <v>1721.776694490434</v>
      </c>
      <c r="AA9" s="92">
        <f t="shared" si="7"/>
        <v>0.69832806283903093</v>
      </c>
      <c r="AB9" s="91">
        <f t="shared" si="8"/>
        <v>513881.61293134885</v>
      </c>
      <c r="AC9" s="91">
        <f t="shared" si="9"/>
        <v>7500.0406516275743</v>
      </c>
      <c r="AD9" s="101">
        <v>53.025565087121819</v>
      </c>
      <c r="AE9" s="61"/>
      <c r="AF9" s="61"/>
    </row>
    <row r="10" spans="1:35" s="89" customFormat="1" ht="15" customHeight="1" x14ac:dyDescent="0.25">
      <c r="A10" s="68" t="s">
        <v>388</v>
      </c>
      <c r="B10" s="97">
        <v>3</v>
      </c>
      <c r="C10" s="98">
        <v>8.6</v>
      </c>
      <c r="D10" s="91">
        <v>34.043486377708959</v>
      </c>
      <c r="E10" s="91">
        <v>41.446892776057787</v>
      </c>
      <c r="F10" s="91">
        <v>38.671144169246574</v>
      </c>
      <c r="G10" s="91">
        <v>36.390165118678993</v>
      </c>
      <c r="H10" s="91">
        <v>128.51884788441694</v>
      </c>
      <c r="I10" s="91">
        <v>124.94142765737887</v>
      </c>
      <c r="J10" s="91">
        <v>30.686009287925692</v>
      </c>
      <c r="K10" s="91">
        <v>90.024639112487137</v>
      </c>
      <c r="L10" s="91">
        <v>3.0293726522187594</v>
      </c>
      <c r="M10" s="91">
        <v>3.0141696594427252</v>
      </c>
      <c r="N10" s="91">
        <v>7.5147520123839158</v>
      </c>
      <c r="O10" s="96">
        <v>23.773503199174392</v>
      </c>
      <c r="P10" s="96">
        <v>23.549902476780201</v>
      </c>
      <c r="Q10" s="96">
        <v>22.549475232198109</v>
      </c>
      <c r="R10" s="96">
        <v>64.634098245614112</v>
      </c>
      <c r="S10" s="96">
        <v>3.9737254901960811E-2</v>
      </c>
      <c r="T10" s="96">
        <f t="shared" si="0"/>
        <v>3.5774202270380755</v>
      </c>
      <c r="U10" s="93">
        <f t="shared" si="1"/>
        <v>7.4034063983488281</v>
      </c>
      <c r="V10" s="93">
        <f t="shared" si="2"/>
        <v>77.329368679050617</v>
      </c>
      <c r="W10" s="95">
        <f t="shared" si="3"/>
        <v>3308.4277611415309</v>
      </c>
      <c r="X10" s="94">
        <f t="shared" si="4"/>
        <v>126.7301377708979</v>
      </c>
      <c r="Y10" s="94">
        <f t="shared" si="5"/>
        <v>124.94142765737887</v>
      </c>
      <c r="Z10" s="93">
        <f t="shared" si="6"/>
        <v>1849.6165119973934</v>
      </c>
      <c r="AA10" s="92">
        <f t="shared" si="7"/>
        <v>0.71796009273475492</v>
      </c>
      <c r="AB10" s="91">
        <f t="shared" si="8"/>
        <v>586064.34625935683</v>
      </c>
      <c r="AC10" s="91">
        <f t="shared" si="9"/>
        <v>8653.1977337856879</v>
      </c>
      <c r="AD10" s="101">
        <v>57.213361768959658</v>
      </c>
      <c r="AE10" s="61"/>
      <c r="AF10" s="61"/>
      <c r="AG10" s="119"/>
      <c r="AH10" s="119"/>
    </row>
    <row r="11" spans="1:35" s="89" customFormat="1" ht="15" customHeight="1" x14ac:dyDescent="0.25">
      <c r="A11" s="68" t="s">
        <v>387</v>
      </c>
      <c r="B11" s="97">
        <v>3</v>
      </c>
      <c r="C11" s="98">
        <v>8.6</v>
      </c>
      <c r="D11" s="91">
        <v>37.825704933920754</v>
      </c>
      <c r="E11" s="91">
        <v>48.438958854625554</v>
      </c>
      <c r="F11" s="91">
        <v>44.502883171806161</v>
      </c>
      <c r="G11" s="91">
        <v>41.49654634361233</v>
      </c>
      <c r="H11" s="91">
        <v>137.75547814978</v>
      </c>
      <c r="I11" s="91">
        <v>135.38548837004421</v>
      </c>
      <c r="J11" s="91">
        <v>32.568058590308368</v>
      </c>
      <c r="K11" s="91">
        <v>120.44205533039656</v>
      </c>
      <c r="L11" s="91">
        <v>3.0344576211453873</v>
      </c>
      <c r="M11" s="91">
        <v>3.0188878414096854</v>
      </c>
      <c r="N11" s="91">
        <v>7.4663926872246957</v>
      </c>
      <c r="O11" s="96">
        <v>24.290401585903052</v>
      </c>
      <c r="P11" s="96">
        <v>23.936282643171829</v>
      </c>
      <c r="Q11" s="96">
        <v>23.790709251101315</v>
      </c>
      <c r="R11" s="96">
        <v>92.060244933920842</v>
      </c>
      <c r="S11" s="96">
        <v>1.9677356828193816E-2</v>
      </c>
      <c r="T11" s="96">
        <f t="shared" si="0"/>
        <v>2.3699897797357892</v>
      </c>
      <c r="U11" s="93">
        <f t="shared" si="1"/>
        <v>10.6132539207048</v>
      </c>
      <c r="V11" s="93">
        <f t="shared" si="2"/>
        <v>106.2511501321587</v>
      </c>
      <c r="W11" s="95">
        <f t="shared" si="3"/>
        <v>4545.805309874233</v>
      </c>
      <c r="X11" s="94">
        <f t="shared" si="4"/>
        <v>136.57048325991212</v>
      </c>
      <c r="Y11" s="94">
        <f t="shared" si="5"/>
        <v>135.38548837004421</v>
      </c>
      <c r="Z11" s="93">
        <f t="shared" si="6"/>
        <v>3836.1391671325714</v>
      </c>
      <c r="AA11" s="92">
        <f t="shared" si="7"/>
        <v>0.76435298850871691</v>
      </c>
      <c r="AB11" s="91">
        <f t="shared" si="8"/>
        <v>805256.94060629257</v>
      </c>
      <c r="AC11" s="91">
        <f t="shared" si="9"/>
        <v>12312.034944764151</v>
      </c>
      <c r="AD11" s="101">
        <v>69.981439062278213</v>
      </c>
      <c r="AE11" s="61"/>
      <c r="AF11" s="61"/>
      <c r="AG11" s="119"/>
    </row>
    <row r="12" spans="1:35" s="89" customFormat="1" ht="15" customHeight="1" x14ac:dyDescent="0.25">
      <c r="A12" s="68" t="s">
        <v>386</v>
      </c>
      <c r="B12" s="97">
        <v>3</v>
      </c>
      <c r="C12" s="98">
        <v>8.6</v>
      </c>
      <c r="D12" s="91">
        <v>30.612650340136028</v>
      </c>
      <c r="E12" s="91">
        <v>45.412142063492034</v>
      </c>
      <c r="F12" s="91">
        <v>40.687280612244969</v>
      </c>
      <c r="G12" s="91">
        <v>32.643812698412745</v>
      </c>
      <c r="H12" s="91">
        <v>144.45543990929698</v>
      </c>
      <c r="I12" s="91">
        <v>142.33565181405882</v>
      </c>
      <c r="J12" s="91">
        <v>26.929274376417226</v>
      </c>
      <c r="K12" s="91">
        <v>155.31336394557829</v>
      </c>
      <c r="L12" s="91">
        <v>3.0446138321995524</v>
      </c>
      <c r="M12" s="91">
        <v>3.0292896825396816</v>
      </c>
      <c r="N12" s="91">
        <v>7.2437787981859518</v>
      </c>
      <c r="O12" s="96">
        <v>17.114662811791387</v>
      </c>
      <c r="P12" s="96">
        <v>17.163832312925148</v>
      </c>
      <c r="Q12" s="96">
        <v>16.920835034013621</v>
      </c>
      <c r="R12" s="96">
        <v>124.55661859410429</v>
      </c>
      <c r="S12" s="96">
        <v>1.3648299319727872E-2</v>
      </c>
      <c r="T12" s="96">
        <f t="shared" si="0"/>
        <v>2.1197880952381638</v>
      </c>
      <c r="U12" s="93">
        <f t="shared" si="1"/>
        <v>14.799491723356006</v>
      </c>
      <c r="V12" s="93">
        <f t="shared" si="2"/>
        <v>139.9349912698413</v>
      </c>
      <c r="W12" s="95">
        <f t="shared" si="3"/>
        <v>5986.9208527194796</v>
      </c>
      <c r="X12" s="94">
        <f t="shared" si="4"/>
        <v>143.3955458616779</v>
      </c>
      <c r="Y12" s="94">
        <f t="shared" si="5"/>
        <v>142.33565181405882</v>
      </c>
      <c r="Z12" s="93">
        <f t="shared" si="6"/>
        <v>5648.6031468601423</v>
      </c>
      <c r="AA12" s="92">
        <f t="shared" si="7"/>
        <v>0.80196974316871317</v>
      </c>
      <c r="AB12" s="91">
        <f t="shared" si="8"/>
        <v>1060540.2653388791</v>
      </c>
      <c r="AC12" s="91">
        <f t="shared" si="9"/>
        <v>15734.96258084773</v>
      </c>
      <c r="AD12" s="101">
        <v>74.93541111505985</v>
      </c>
      <c r="AE12" s="61"/>
      <c r="AF12" s="61"/>
      <c r="AG12" s="119"/>
    </row>
    <row r="13" spans="1:35" s="89" customFormat="1" ht="15" customHeight="1" x14ac:dyDescent="0.25">
      <c r="A13" s="68" t="s">
        <v>385</v>
      </c>
      <c r="B13" s="97">
        <v>3</v>
      </c>
      <c r="C13" s="98">
        <v>8.6</v>
      </c>
      <c r="D13" s="91">
        <v>40.725666601562523</v>
      </c>
      <c r="E13" s="91">
        <v>55.069422363281213</v>
      </c>
      <c r="F13" s="91">
        <v>49.822979296875069</v>
      </c>
      <c r="G13" s="91">
        <v>46.308911816406201</v>
      </c>
      <c r="H13" s="91">
        <v>146.49883740234355</v>
      </c>
      <c r="I13" s="91">
        <v>143.83248144531234</v>
      </c>
      <c r="J13" s="91">
        <v>33.083209570312469</v>
      </c>
      <c r="K13" s="91">
        <v>156.40771435546878</v>
      </c>
      <c r="L13" s="91">
        <v>3.0594881835937566</v>
      </c>
      <c r="M13" s="91">
        <v>3.0445120117187536</v>
      </c>
      <c r="N13" s="91">
        <v>7.383131054687504</v>
      </c>
      <c r="O13" s="96">
        <v>24.047674609374994</v>
      </c>
      <c r="P13" s="96">
        <v>24.132986914062492</v>
      </c>
      <c r="Q13" s="96">
        <v>23.204145800781273</v>
      </c>
      <c r="R13" s="96">
        <v>123.03821767578128</v>
      </c>
      <c r="S13" s="96">
        <v>1.7048242187499986E-2</v>
      </c>
      <c r="T13" s="96">
        <f t="shared" si="0"/>
        <v>2.6663559570312145</v>
      </c>
      <c r="U13" s="93">
        <f t="shared" si="1"/>
        <v>14.34375576171869</v>
      </c>
      <c r="V13" s="93">
        <f t="shared" si="2"/>
        <v>139.72296601562505</v>
      </c>
      <c r="W13" s="95">
        <f t="shared" si="3"/>
        <v>5977.849651840761</v>
      </c>
      <c r="X13" s="94">
        <f t="shared" si="4"/>
        <v>145.16565942382795</v>
      </c>
      <c r="Y13" s="94">
        <f t="shared" si="5"/>
        <v>143.83248144531234</v>
      </c>
      <c r="Z13" s="93">
        <f t="shared" si="6"/>
        <v>4483.9096866096179</v>
      </c>
      <c r="AA13" s="92">
        <f t="shared" si="7"/>
        <v>0.78665057016402373</v>
      </c>
      <c r="AB13" s="91">
        <f t="shared" si="8"/>
        <v>1058933.3668975062</v>
      </c>
      <c r="AC13" s="91">
        <f t="shared" si="9"/>
        <v>17375.850459426925</v>
      </c>
      <c r="AD13" s="101">
        <v>82.889659143166966</v>
      </c>
      <c r="AE13" s="61"/>
      <c r="AF13" s="61"/>
      <c r="AG13" s="119"/>
    </row>
    <row r="14" spans="1:35" s="89" customFormat="1" ht="15" customHeight="1" x14ac:dyDescent="0.25">
      <c r="A14" s="68" t="s">
        <v>384</v>
      </c>
      <c r="B14" s="97">
        <v>3</v>
      </c>
      <c r="C14" s="98">
        <v>8.6</v>
      </c>
      <c r="D14" s="91">
        <v>41.33826175059955</v>
      </c>
      <c r="E14" s="91">
        <v>56.190236810551539</v>
      </c>
      <c r="F14" s="91">
        <v>50.485710911270971</v>
      </c>
      <c r="G14" s="91">
        <v>46.748216786570737</v>
      </c>
      <c r="H14" s="91">
        <v>149.35365779376497</v>
      </c>
      <c r="I14" s="91">
        <v>147.04493417266187</v>
      </c>
      <c r="J14" s="91">
        <v>32.904961870503598</v>
      </c>
      <c r="K14" s="91">
        <v>155.95286282973612</v>
      </c>
      <c r="L14" s="91">
        <v>3.0588058752997669</v>
      </c>
      <c r="M14" s="91">
        <v>3.0432011990407646</v>
      </c>
      <c r="N14" s="91">
        <v>7.1865022781774659</v>
      </c>
      <c r="O14" s="96">
        <v>23.632043045563581</v>
      </c>
      <c r="P14" s="96">
        <v>23.377256954436444</v>
      </c>
      <c r="Q14" s="96">
        <v>23.180916426858492</v>
      </c>
      <c r="R14" s="96">
        <v>124.00719868105526</v>
      </c>
      <c r="S14" s="96">
        <v>1.4803956834532372E-2</v>
      </c>
      <c r="T14" s="96">
        <f t="shared" si="0"/>
        <v>2.3087236211030984</v>
      </c>
      <c r="U14" s="93">
        <f t="shared" si="1"/>
        <v>14.85197505995199</v>
      </c>
      <c r="V14" s="93">
        <f t="shared" si="2"/>
        <v>139.98003075539569</v>
      </c>
      <c r="W14" s="95">
        <f t="shared" si="3"/>
        <v>5988.8478034614945</v>
      </c>
      <c r="X14" s="94">
        <f t="shared" si="4"/>
        <v>148.1992959832134</v>
      </c>
      <c r="Y14" s="94">
        <f t="shared" si="5"/>
        <v>147.04493417266187</v>
      </c>
      <c r="Z14" s="93">
        <f t="shared" si="6"/>
        <v>5188.0162256928115</v>
      </c>
      <c r="AA14" s="92">
        <f t="shared" si="7"/>
        <v>0.79515820633855228</v>
      </c>
      <c r="AB14" s="91">
        <f t="shared" si="8"/>
        <v>1060881.6108988933</v>
      </c>
      <c r="AC14" s="91">
        <f t="shared" si="9"/>
        <v>16903.007127859084</v>
      </c>
      <c r="AD14" s="101">
        <v>84.282042169239787</v>
      </c>
      <c r="AE14" s="61"/>
      <c r="AF14" s="61"/>
      <c r="AG14" s="119"/>
    </row>
    <row r="15" spans="1:35" s="89" customFormat="1" ht="15" customHeight="1" x14ac:dyDescent="0.25">
      <c r="A15" s="68" t="s">
        <v>383</v>
      </c>
      <c r="B15" s="97">
        <v>4</v>
      </c>
      <c r="C15" s="98">
        <v>11.4</v>
      </c>
      <c r="D15" s="91">
        <v>32.605102757793766</v>
      </c>
      <c r="E15" s="91">
        <v>38.117406115107947</v>
      </c>
      <c r="F15" s="91">
        <v>35.467507314148712</v>
      </c>
      <c r="G15" s="91">
        <v>33.574505155875386</v>
      </c>
      <c r="H15" s="91">
        <v>120.23343944844123</v>
      </c>
      <c r="I15" s="91">
        <v>116.68425143884885</v>
      </c>
      <c r="J15" s="91">
        <v>28.139579136690635</v>
      </c>
      <c r="K15" s="91">
        <v>70.034805875299682</v>
      </c>
      <c r="L15" s="91">
        <v>3.0143653477218315</v>
      </c>
      <c r="M15" s="91">
        <v>2.9985522781774563</v>
      </c>
      <c r="N15" s="91">
        <v>7.4043727817745921</v>
      </c>
      <c r="O15" s="96">
        <v>22.183745083932806</v>
      </c>
      <c r="P15" s="96">
        <v>22.079658273381263</v>
      </c>
      <c r="Q15" s="96">
        <v>21.753447841726629</v>
      </c>
      <c r="R15" s="96">
        <v>47.418634652278207</v>
      </c>
      <c r="S15" s="96">
        <v>5.0678297362110374E-2</v>
      </c>
      <c r="T15" s="96">
        <f t="shared" si="0"/>
        <v>3.5491880095923847</v>
      </c>
      <c r="U15" s="93">
        <f t="shared" si="1"/>
        <v>5.5123033573141811</v>
      </c>
      <c r="V15" s="93">
        <f t="shared" si="2"/>
        <v>58.726720263788948</v>
      </c>
      <c r="W15" s="95">
        <f t="shared" si="3"/>
        <v>2512.5397369776847</v>
      </c>
      <c r="X15" s="94">
        <f t="shared" si="4"/>
        <v>118.45884544364503</v>
      </c>
      <c r="Y15" s="94">
        <f t="shared" si="5"/>
        <v>116.68425143884885</v>
      </c>
      <c r="Z15" s="93">
        <f t="shared" si="6"/>
        <v>1415.8391892382469</v>
      </c>
      <c r="AA15" s="92">
        <f t="shared" si="7"/>
        <v>0.6770724079211321</v>
      </c>
      <c r="AB15" s="91">
        <f t="shared" si="8"/>
        <v>445078.4676931898</v>
      </c>
      <c r="AC15" s="91">
        <f t="shared" si="9"/>
        <v>6676.1793706641529</v>
      </c>
      <c r="AD15" s="101">
        <v>50.017608291285704</v>
      </c>
      <c r="AE15" s="61"/>
      <c r="AF15" s="61"/>
      <c r="AG15" s="119"/>
      <c r="AH15" s="119"/>
    </row>
    <row r="16" spans="1:35" s="89" customFormat="1" ht="15" customHeight="1" x14ac:dyDescent="0.25">
      <c r="A16" s="68" t="s">
        <v>382</v>
      </c>
      <c r="B16" s="97">
        <v>4</v>
      </c>
      <c r="C16" s="98">
        <v>11.4</v>
      </c>
      <c r="D16" s="91">
        <v>31.714112664277188</v>
      </c>
      <c r="E16" s="91">
        <v>37.523575627240156</v>
      </c>
      <c r="F16" s="91">
        <v>35.097877538829195</v>
      </c>
      <c r="G16" s="91">
        <v>32.10556475507763</v>
      </c>
      <c r="H16" s="91">
        <v>121.61497897252079</v>
      </c>
      <c r="I16" s="91">
        <v>120.01594838709693</v>
      </c>
      <c r="J16" s="91">
        <v>29.253959378733583</v>
      </c>
      <c r="K16" s="91">
        <v>71.369665471923526</v>
      </c>
      <c r="L16" s="91">
        <v>3.0286550776583123</v>
      </c>
      <c r="M16" s="91">
        <v>3.0133381123058545</v>
      </c>
      <c r="N16" s="91">
        <v>7.2230875746714487</v>
      </c>
      <c r="O16" s="96">
        <v>22.221686379928304</v>
      </c>
      <c r="P16" s="96">
        <v>21.893706093189973</v>
      </c>
      <c r="Q16" s="96">
        <v>21.649614934289144</v>
      </c>
      <c r="R16" s="96">
        <v>48.752446833930684</v>
      </c>
      <c r="S16" s="96">
        <v>2.2405376344085966E-2</v>
      </c>
      <c r="T16" s="96">
        <f t="shared" si="0"/>
        <v>1.5990305854238613</v>
      </c>
      <c r="U16" s="93">
        <f t="shared" si="1"/>
        <v>5.8094629629629679</v>
      </c>
      <c r="V16" s="93">
        <f t="shared" si="2"/>
        <v>60.061056152927108</v>
      </c>
      <c r="W16" s="95">
        <f t="shared" si="3"/>
        <v>2569.6274123812486</v>
      </c>
      <c r="X16" s="94">
        <f t="shared" si="4"/>
        <v>120.81546367980886</v>
      </c>
      <c r="Y16" s="94">
        <f t="shared" si="5"/>
        <v>120.01594838709693</v>
      </c>
      <c r="Z16" s="93">
        <f t="shared" si="6"/>
        <v>3213.9815658374132</v>
      </c>
      <c r="AA16" s="92">
        <f t="shared" si="7"/>
        <v>0.6830975949174044</v>
      </c>
      <c r="AB16" s="91">
        <f t="shared" si="8"/>
        <v>455191.14162182109</v>
      </c>
      <c r="AC16" s="91">
        <f t="shared" si="9"/>
        <v>6489.6298230932134</v>
      </c>
      <c r="AD16" s="101">
        <v>49.87463770678157</v>
      </c>
      <c r="AE16" s="61"/>
      <c r="AF16" s="61"/>
      <c r="AG16" s="119"/>
    </row>
    <row r="17" spans="1:34" s="89" customFormat="1" ht="15" customHeight="1" x14ac:dyDescent="0.25">
      <c r="A17" s="68" t="s">
        <v>381</v>
      </c>
      <c r="B17" s="97">
        <v>4</v>
      </c>
      <c r="C17" s="98">
        <v>11.4</v>
      </c>
      <c r="D17" s="91">
        <v>38.181015550239238</v>
      </c>
      <c r="E17" s="91">
        <v>52.758047129186572</v>
      </c>
      <c r="F17" s="91">
        <v>47.055264114832518</v>
      </c>
      <c r="G17" s="91">
        <v>43.557843181818171</v>
      </c>
      <c r="H17" s="91">
        <v>142.63083755980864</v>
      </c>
      <c r="I17" s="91">
        <v>140.02470490430619</v>
      </c>
      <c r="J17" s="91">
        <v>29.404485287081354</v>
      </c>
      <c r="K17" s="91">
        <v>156.60478516746412</v>
      </c>
      <c r="L17" s="91">
        <v>3.0641311004784755</v>
      </c>
      <c r="M17" s="91">
        <v>3.0488897129186543</v>
      </c>
      <c r="N17" s="91">
        <v>7.3280299043062245</v>
      </c>
      <c r="O17" s="96">
        <v>20.803704665071781</v>
      </c>
      <c r="P17" s="96">
        <v>20.723440669856455</v>
      </c>
      <c r="Q17" s="96">
        <v>20.492834808612432</v>
      </c>
      <c r="R17" s="96">
        <v>124.09989904306209</v>
      </c>
      <c r="S17" s="96">
        <v>1.6640909090909119E-2</v>
      </c>
      <c r="T17" s="96">
        <f t="shared" si="0"/>
        <v>2.6061326555024493</v>
      </c>
      <c r="U17" s="93">
        <f t="shared" si="1"/>
        <v>14.577031578947334</v>
      </c>
      <c r="V17" s="93">
        <f t="shared" si="2"/>
        <v>140.35234210526312</v>
      </c>
      <c r="W17" s="95">
        <f t="shared" si="3"/>
        <v>6004.7766184347793</v>
      </c>
      <c r="X17" s="94">
        <f t="shared" si="4"/>
        <v>141.32777123205742</v>
      </c>
      <c r="Y17" s="94">
        <f t="shared" si="5"/>
        <v>140.02470490430619</v>
      </c>
      <c r="Z17" s="93">
        <f t="shared" si="6"/>
        <v>4608.1895376711655</v>
      </c>
      <c r="AA17" s="92">
        <f t="shared" si="7"/>
        <v>0.79244001969899469</v>
      </c>
      <c r="AB17" s="91">
        <f t="shared" si="8"/>
        <v>1063703.2866941607</v>
      </c>
      <c r="AC17" s="91">
        <f t="shared" si="9"/>
        <v>18064.275403652016</v>
      </c>
      <c r="AD17" s="101">
        <v>81.140345419889002</v>
      </c>
      <c r="AE17" s="61"/>
      <c r="AF17" s="61"/>
      <c r="AG17" s="119"/>
      <c r="AH17" s="119"/>
    </row>
    <row r="18" spans="1:34" s="89" customFormat="1" ht="15" customHeight="1" x14ac:dyDescent="0.25">
      <c r="A18" s="68" t="s">
        <v>380</v>
      </c>
      <c r="B18" s="97">
        <v>4</v>
      </c>
      <c r="C18" s="98">
        <v>11.4</v>
      </c>
      <c r="D18" s="91">
        <v>39.689854784688961</v>
      </c>
      <c r="E18" s="91">
        <v>55.121271531100525</v>
      </c>
      <c r="F18" s="91">
        <v>49.794925119617254</v>
      </c>
      <c r="G18" s="91">
        <v>43.923029186602875</v>
      </c>
      <c r="H18" s="91">
        <v>145.66147715310996</v>
      </c>
      <c r="I18" s="91">
        <v>143.84599473684207</v>
      </c>
      <c r="J18" s="91">
        <v>32.601640669856465</v>
      </c>
      <c r="K18" s="91">
        <v>157.29846040669864</v>
      </c>
      <c r="L18" s="91">
        <v>3.0454781100478354</v>
      </c>
      <c r="M18" s="91">
        <v>3.0302494019138702</v>
      </c>
      <c r="N18" s="91">
        <v>7.0498114832535714</v>
      </c>
      <c r="O18" s="96">
        <v>22.997233851674629</v>
      </c>
      <c r="P18" s="96">
        <v>22.546028827751172</v>
      </c>
      <c r="Q18" s="96">
        <v>22.287881818181791</v>
      </c>
      <c r="R18" s="96">
        <v>126.38921734449744</v>
      </c>
      <c r="S18" s="96">
        <v>1.1543899521531061E-2</v>
      </c>
      <c r="T18" s="96">
        <f t="shared" si="0"/>
        <v>1.8154824162678835</v>
      </c>
      <c r="U18" s="93">
        <f t="shared" si="1"/>
        <v>15.431416746411564</v>
      </c>
      <c r="V18" s="93">
        <f t="shared" si="2"/>
        <v>141.84383887559804</v>
      </c>
      <c r="W18" s="95">
        <f t="shared" si="3"/>
        <v>6068.5882000488655</v>
      </c>
      <c r="X18" s="94">
        <f t="shared" si="4"/>
        <v>144.75373594497603</v>
      </c>
      <c r="Y18" s="94">
        <f t="shared" si="5"/>
        <v>143.84599473684207</v>
      </c>
      <c r="Z18" s="93">
        <f t="shared" si="6"/>
        <v>6685.3725992279951</v>
      </c>
      <c r="AA18" s="92">
        <f t="shared" si="7"/>
        <v>0.80349939228721834</v>
      </c>
      <c r="AB18" s="91">
        <f t="shared" si="8"/>
        <v>1075007.0525800844</v>
      </c>
      <c r="AC18" s="91">
        <f t="shared" si="9"/>
        <v>17963.232274772108</v>
      </c>
      <c r="AD18" s="101">
        <v>84.001138525198911</v>
      </c>
      <c r="AE18" s="61"/>
      <c r="AF18" s="61"/>
      <c r="AG18" s="119"/>
    </row>
    <row r="19" spans="1:34" s="89" customFormat="1" ht="15" customHeight="1" x14ac:dyDescent="0.25">
      <c r="A19" s="68" t="s">
        <v>379</v>
      </c>
      <c r="B19" s="97">
        <v>4</v>
      </c>
      <c r="C19" s="98">
        <v>11.4</v>
      </c>
      <c r="D19" s="91">
        <v>40.204356339712959</v>
      </c>
      <c r="E19" s="91">
        <v>54.898955023923477</v>
      </c>
      <c r="F19" s="91">
        <v>49.645055382775091</v>
      </c>
      <c r="G19" s="91">
        <v>44.37837404306218</v>
      </c>
      <c r="H19" s="91">
        <v>145.90085992822975</v>
      </c>
      <c r="I19" s="91">
        <v>144.0693800239236</v>
      </c>
      <c r="J19" s="91">
        <v>33.000020813397164</v>
      </c>
      <c r="K19" s="91">
        <v>155.25083193779903</v>
      </c>
      <c r="L19" s="91">
        <v>3.0603257177033529</v>
      </c>
      <c r="M19" s="91">
        <v>3.0446860047846918</v>
      </c>
      <c r="N19" s="91">
        <v>7.2450230861243936</v>
      </c>
      <c r="O19" s="96">
        <v>23.649980861244025</v>
      </c>
      <c r="P19" s="96">
        <v>23.268720454545452</v>
      </c>
      <c r="Q19" s="96">
        <v>23.008668062200957</v>
      </c>
      <c r="R19" s="96">
        <v>123.6882405502392</v>
      </c>
      <c r="S19" s="96">
        <v>1.1796650717703356E-2</v>
      </c>
      <c r="T19" s="96">
        <f t="shared" si="0"/>
        <v>1.8314799043061498</v>
      </c>
      <c r="U19" s="93">
        <f t="shared" si="1"/>
        <v>14.694598684210519</v>
      </c>
      <c r="V19" s="93">
        <f t="shared" si="2"/>
        <v>139.46953624401911</v>
      </c>
      <c r="W19" s="95">
        <f t="shared" si="3"/>
        <v>5967.0070171962088</v>
      </c>
      <c r="X19" s="94">
        <f t="shared" si="4"/>
        <v>144.98511997607667</v>
      </c>
      <c r="Y19" s="94">
        <f t="shared" si="5"/>
        <v>144.0693800239236</v>
      </c>
      <c r="Z19" s="93">
        <f t="shared" si="6"/>
        <v>6516.0496745464316</v>
      </c>
      <c r="AA19" s="92">
        <f t="shared" si="7"/>
        <v>0.79669937356467546</v>
      </c>
      <c r="AB19" s="91">
        <f t="shared" si="8"/>
        <v>1057012.6716176139</v>
      </c>
      <c r="AC19" s="91">
        <f t="shared" si="9"/>
        <v>17312.625457442169</v>
      </c>
      <c r="AD19" s="101">
        <v>83.014938904293388</v>
      </c>
      <c r="AE19" s="61"/>
      <c r="AF19" s="61"/>
      <c r="AG19" s="119"/>
    </row>
    <row r="20" spans="1:34" s="89" customFormat="1" ht="15" customHeight="1" x14ac:dyDescent="0.25">
      <c r="A20" s="68" t="s">
        <v>378</v>
      </c>
      <c r="B20" s="97">
        <v>5</v>
      </c>
      <c r="C20" s="98">
        <v>14.3</v>
      </c>
      <c r="D20" s="91">
        <v>24.147280718562847</v>
      </c>
      <c r="E20" s="91">
        <v>30.299058203592836</v>
      </c>
      <c r="F20" s="91">
        <v>27.358627784431189</v>
      </c>
      <c r="G20" s="91">
        <v>26.141615568862239</v>
      </c>
      <c r="H20" s="91">
        <v>87.98993604790418</v>
      </c>
      <c r="I20" s="91">
        <v>82.40822467065864</v>
      </c>
      <c r="J20" s="91">
        <v>19.027028502994003</v>
      </c>
      <c r="K20" s="91">
        <v>70.895438203592818</v>
      </c>
      <c r="L20" s="91">
        <v>3.0176409580838319</v>
      </c>
      <c r="M20" s="91">
        <v>3.002419401197606</v>
      </c>
      <c r="N20" s="91">
        <v>7.3464159281437018</v>
      </c>
      <c r="O20" s="96">
        <v>14.935580359281426</v>
      </c>
      <c r="P20" s="96">
        <v>15.961913413173665</v>
      </c>
      <c r="Q20" s="96">
        <v>15.185286826347301</v>
      </c>
      <c r="R20" s="96">
        <v>52.533003473053867</v>
      </c>
      <c r="S20" s="96">
        <v>7.8737604790419163E-2</v>
      </c>
      <c r="T20" s="96">
        <f t="shared" si="0"/>
        <v>5.58171137724554</v>
      </c>
      <c r="U20" s="93">
        <f t="shared" si="1"/>
        <v>6.1517774850299887</v>
      </c>
      <c r="V20" s="93">
        <f t="shared" si="2"/>
        <v>61.714220838323342</v>
      </c>
      <c r="W20" s="95">
        <f t="shared" si="3"/>
        <v>2640.3557272806488</v>
      </c>
      <c r="X20" s="94">
        <f t="shared" si="4"/>
        <v>85.19908035928141</v>
      </c>
      <c r="Y20" s="94">
        <f t="shared" si="5"/>
        <v>82.40822467065864</v>
      </c>
      <c r="Z20" s="93">
        <f t="shared" si="6"/>
        <v>946.07390057621012</v>
      </c>
      <c r="AA20" s="92">
        <f t="shared" si="7"/>
        <v>0.74099271834942426</v>
      </c>
      <c r="AB20" s="91">
        <f t="shared" si="8"/>
        <v>467720.15740400058</v>
      </c>
      <c r="AC20" s="91">
        <f t="shared" si="9"/>
        <v>12211.35576882084</v>
      </c>
      <c r="AD20" s="101">
        <v>44.106158441597749</v>
      </c>
      <c r="AE20" s="61"/>
      <c r="AF20" s="61"/>
      <c r="AG20" s="119"/>
      <c r="AH20" s="119"/>
    </row>
    <row r="21" spans="1:34" s="89" customFormat="1" ht="15" customHeight="1" x14ac:dyDescent="0.25">
      <c r="A21" s="68" t="s">
        <v>377</v>
      </c>
      <c r="B21" s="97">
        <v>5</v>
      </c>
      <c r="C21" s="98">
        <v>14.3</v>
      </c>
      <c r="D21" s="91">
        <v>24.640881355932233</v>
      </c>
      <c r="E21" s="91">
        <v>30.058476634382561</v>
      </c>
      <c r="F21" s="91">
        <v>27.369423849878952</v>
      </c>
      <c r="G21" s="91">
        <v>26.29959830508475</v>
      </c>
      <c r="H21" s="91">
        <v>124.19808486682813</v>
      </c>
      <c r="I21" s="91">
        <v>122.82419116222783</v>
      </c>
      <c r="J21" s="91">
        <v>22.974652179176772</v>
      </c>
      <c r="K21" s="91">
        <v>71.172593704600516</v>
      </c>
      <c r="L21" s="91">
        <v>3.00689515738501</v>
      </c>
      <c r="M21" s="91">
        <v>2.9917124697336535</v>
      </c>
      <c r="N21" s="91">
        <v>7.3600677966101573</v>
      </c>
      <c r="O21" s="96">
        <v>15.411060169491531</v>
      </c>
      <c r="P21" s="96">
        <v>16.675250000000013</v>
      </c>
      <c r="Q21" s="96">
        <v>15.636356295399528</v>
      </c>
      <c r="R21" s="96">
        <v>46.347189225181509</v>
      </c>
      <c r="S21" s="96">
        <v>1.9304600484261525E-2</v>
      </c>
      <c r="T21" s="96">
        <f t="shared" si="0"/>
        <v>1.3738937046002917</v>
      </c>
      <c r="U21" s="93">
        <f t="shared" si="1"/>
        <v>5.4175952784503281</v>
      </c>
      <c r="V21" s="93">
        <f t="shared" si="2"/>
        <v>58.759891464891012</v>
      </c>
      <c r="W21" s="95">
        <f t="shared" si="3"/>
        <v>2513.958919941042</v>
      </c>
      <c r="X21" s="94">
        <f t="shared" si="4"/>
        <v>123.51113801452797</v>
      </c>
      <c r="Y21" s="94">
        <f t="shared" si="5"/>
        <v>122.82419116222783</v>
      </c>
      <c r="Z21" s="93">
        <f t="shared" si="6"/>
        <v>3659.6119649190136</v>
      </c>
      <c r="AA21" s="92">
        <f t="shared" si="7"/>
        <v>0.65119432653450815</v>
      </c>
      <c r="AB21" s="91">
        <f t="shared" si="8"/>
        <v>445329.86581812735</v>
      </c>
      <c r="AC21" s="91">
        <f t="shared" si="9"/>
        <v>5529.453945162596</v>
      </c>
      <c r="AD21" s="101">
        <v>42.286425546561375</v>
      </c>
      <c r="AE21" s="61"/>
      <c r="AF21" s="61"/>
      <c r="AG21" s="119"/>
    </row>
    <row r="22" spans="1:34" s="89" customFormat="1" ht="15" customHeight="1" x14ac:dyDescent="0.25">
      <c r="A22" s="68" t="s">
        <v>376</v>
      </c>
      <c r="B22" s="97">
        <v>5</v>
      </c>
      <c r="C22" s="98">
        <v>14.3</v>
      </c>
      <c r="D22" s="91">
        <v>34.75644742514973</v>
      </c>
      <c r="E22" s="91">
        <v>41.259750538922184</v>
      </c>
      <c r="F22" s="91">
        <v>38.467784071856279</v>
      </c>
      <c r="G22" s="91">
        <v>36.193436407185573</v>
      </c>
      <c r="H22" s="91">
        <v>91.668976167664681</v>
      </c>
      <c r="I22" s="91">
        <v>86.907642874251593</v>
      </c>
      <c r="J22" s="91">
        <v>29.096421077844287</v>
      </c>
      <c r="K22" s="91">
        <v>70.397484071856354</v>
      </c>
      <c r="L22" s="91">
        <v>3.0338396407185524</v>
      </c>
      <c r="M22" s="91">
        <v>3.0183738922155645</v>
      </c>
      <c r="N22" s="91">
        <v>7.093436287425134</v>
      </c>
      <c r="O22" s="96">
        <v>24.125832814371272</v>
      </c>
      <c r="P22" s="96">
        <v>23.985509101796424</v>
      </c>
      <c r="Q22" s="96">
        <v>23.814343712574836</v>
      </c>
      <c r="R22" s="96">
        <v>53.59228059880234</v>
      </c>
      <c r="S22" s="96">
        <v>6.7638443113772456E-2</v>
      </c>
      <c r="T22" s="96">
        <f t="shared" si="0"/>
        <v>4.7613332934130881</v>
      </c>
      <c r="U22" s="93">
        <f t="shared" si="1"/>
        <v>6.5033031137724535</v>
      </c>
      <c r="V22" s="93">
        <f t="shared" si="2"/>
        <v>61.994882335329351</v>
      </c>
      <c r="W22" s="95">
        <f t="shared" si="3"/>
        <v>2652.3634328140029</v>
      </c>
      <c r="X22" s="94">
        <f t="shared" si="4"/>
        <v>89.288309520958137</v>
      </c>
      <c r="Y22" s="94">
        <f t="shared" si="5"/>
        <v>86.907642874251593</v>
      </c>
      <c r="Z22" s="93">
        <f t="shared" si="6"/>
        <v>1114.1263462834365</v>
      </c>
      <c r="AA22" s="92">
        <f t="shared" si="7"/>
        <v>0.76128119215310941</v>
      </c>
      <c r="AB22" s="91">
        <f t="shared" si="8"/>
        <v>469847.23666990903</v>
      </c>
      <c r="AC22" s="91">
        <f t="shared" si="9"/>
        <v>14541.141667521335</v>
      </c>
      <c r="AD22" s="101">
        <v>54.596064635567217</v>
      </c>
      <c r="AE22" s="61"/>
      <c r="AF22" s="61"/>
      <c r="AG22" s="119"/>
      <c r="AH22" s="119"/>
    </row>
    <row r="23" spans="1:34" s="89" customFormat="1" ht="15" customHeight="1" x14ac:dyDescent="0.25">
      <c r="A23" s="68" t="s">
        <v>375</v>
      </c>
      <c r="B23" s="97">
        <v>5</v>
      </c>
      <c r="C23" s="98">
        <v>14.3</v>
      </c>
      <c r="D23" s="91">
        <v>25.589152283653871</v>
      </c>
      <c r="E23" s="91">
        <v>31.004006850961545</v>
      </c>
      <c r="F23" s="91">
        <v>28.371822355769211</v>
      </c>
      <c r="G23" s="91">
        <v>27.125727764423047</v>
      </c>
      <c r="H23" s="91">
        <v>122.83324278846165</v>
      </c>
      <c r="I23" s="91">
        <v>120.96369350961535</v>
      </c>
      <c r="J23" s="91">
        <v>23.53086562499999</v>
      </c>
      <c r="K23" s="91">
        <v>70.731812740384569</v>
      </c>
      <c r="L23" s="91">
        <v>2.9989302884615294</v>
      </c>
      <c r="M23" s="91">
        <v>2.9833276442307719</v>
      </c>
      <c r="N23" s="91">
        <v>7.3907188701923205</v>
      </c>
      <c r="O23" s="96">
        <v>16.024531370192307</v>
      </c>
      <c r="P23" s="96">
        <v>16.85031646634615</v>
      </c>
      <c r="Q23" s="96">
        <v>16.340773677884624</v>
      </c>
      <c r="R23" s="96">
        <v>46.512412980769227</v>
      </c>
      <c r="S23" s="96">
        <v>2.6430889423076951E-2</v>
      </c>
      <c r="T23" s="96">
        <f t="shared" si="0"/>
        <v>1.8695492788462929</v>
      </c>
      <c r="U23" s="93">
        <f t="shared" si="1"/>
        <v>5.4148545673076747</v>
      </c>
      <c r="V23" s="93">
        <f t="shared" si="2"/>
        <v>58.622112860576898</v>
      </c>
      <c r="W23" s="95">
        <f t="shared" si="3"/>
        <v>2508.0642570569307</v>
      </c>
      <c r="X23" s="94">
        <f t="shared" si="4"/>
        <v>121.89846814903851</v>
      </c>
      <c r="Y23" s="94">
        <f t="shared" si="5"/>
        <v>120.96369350961535</v>
      </c>
      <c r="Z23" s="93">
        <f t="shared" si="6"/>
        <v>2683.0683581709591</v>
      </c>
      <c r="AA23" s="92">
        <f t="shared" si="7"/>
        <v>0.6575883068554923</v>
      </c>
      <c r="AB23" s="91">
        <f t="shared" si="8"/>
        <v>444285.66839294194</v>
      </c>
      <c r="AC23" s="91">
        <f t="shared" si="9"/>
        <v>5712.4575493924931</v>
      </c>
      <c r="AD23" s="101">
        <v>43.188819114235251</v>
      </c>
      <c r="AE23" s="61"/>
      <c r="AF23" s="61"/>
      <c r="AG23" s="119"/>
    </row>
    <row r="24" spans="1:34" s="89" customFormat="1" ht="15" customHeight="1" x14ac:dyDescent="0.25">
      <c r="A24" s="68" t="s">
        <v>374</v>
      </c>
      <c r="B24" s="97">
        <v>5</v>
      </c>
      <c r="C24" s="98">
        <v>14.3</v>
      </c>
      <c r="D24" s="91">
        <v>31.302615568862265</v>
      </c>
      <c r="E24" s="91">
        <v>45.170355688622678</v>
      </c>
      <c r="F24" s="91">
        <v>39.427602754491012</v>
      </c>
      <c r="G24" s="91">
        <v>36.655572574850332</v>
      </c>
      <c r="H24" s="91">
        <v>147.46921892215573</v>
      </c>
      <c r="I24" s="91">
        <v>145.83513137724555</v>
      </c>
      <c r="J24" s="91">
        <v>22.929173532934144</v>
      </c>
      <c r="K24" s="91">
        <v>155.25819401197589</v>
      </c>
      <c r="L24" s="91">
        <v>3.0127776047904136</v>
      </c>
      <c r="M24" s="91">
        <v>2.9976056287425092</v>
      </c>
      <c r="N24" s="91">
        <v>7.4999338922155694</v>
      </c>
      <c r="O24" s="96">
        <v>15.013671976047904</v>
      </c>
      <c r="P24" s="96">
        <v>16.010271736526956</v>
      </c>
      <c r="Q24" s="96">
        <v>15.510501556886235</v>
      </c>
      <c r="R24" s="96">
        <v>120.8389718562875</v>
      </c>
      <c r="S24" s="96">
        <v>1.0523592814371267E-2</v>
      </c>
      <c r="T24" s="96">
        <f t="shared" si="0"/>
        <v>1.6340875449101873</v>
      </c>
      <c r="U24" s="93">
        <f t="shared" si="1"/>
        <v>13.867740119760413</v>
      </c>
      <c r="V24" s="93">
        <f t="shared" si="2"/>
        <v>138.0485829341317</v>
      </c>
      <c r="W24" s="95">
        <f t="shared" si="3"/>
        <v>5906.2135378490657</v>
      </c>
      <c r="X24" s="94">
        <f t="shared" si="4"/>
        <v>146.65217514970064</v>
      </c>
      <c r="Y24" s="94">
        <f t="shared" si="5"/>
        <v>145.83513137724555</v>
      </c>
      <c r="Z24" s="93">
        <f t="shared" si="6"/>
        <v>7228.7602414516696</v>
      </c>
      <c r="AA24" s="92">
        <f t="shared" si="7"/>
        <v>0.77830978664460404</v>
      </c>
      <c r="AB24" s="91">
        <f t="shared" si="8"/>
        <v>1046243.5409904058</v>
      </c>
      <c r="AC24" s="91">
        <f t="shared" si="9"/>
        <v>14486.801744514756</v>
      </c>
      <c r="AD24" s="101">
        <v>73.614667575664726</v>
      </c>
      <c r="AE24" s="61"/>
      <c r="AF24" s="61"/>
      <c r="AG24" s="119"/>
      <c r="AH24" s="119"/>
    </row>
    <row r="25" spans="1:34" s="89" customFormat="1" ht="15" customHeight="1" x14ac:dyDescent="0.25">
      <c r="A25" s="68" t="s">
        <v>373</v>
      </c>
      <c r="B25" s="97">
        <v>5</v>
      </c>
      <c r="C25" s="98">
        <v>14.3</v>
      </c>
      <c r="D25" s="91">
        <v>32.413734011976018</v>
      </c>
      <c r="E25" s="91">
        <v>47.085878802395236</v>
      </c>
      <c r="F25" s="91">
        <v>40.876213892215574</v>
      </c>
      <c r="G25" s="91">
        <v>38.125732455089818</v>
      </c>
      <c r="H25" s="91">
        <v>119.57881209580836</v>
      </c>
      <c r="I25" s="91">
        <v>117.0028900598803</v>
      </c>
      <c r="J25" s="91">
        <v>22.278705868263497</v>
      </c>
      <c r="K25" s="91">
        <v>155.87384706586809</v>
      </c>
      <c r="L25" s="91">
        <v>3.0516276646706699</v>
      </c>
      <c r="M25" s="91">
        <v>3.0363170059880287</v>
      </c>
      <c r="N25" s="91">
        <v>7.4962762874251334</v>
      </c>
      <c r="O25" s="96">
        <v>15.842120359281422</v>
      </c>
      <c r="P25" s="96">
        <v>16.597053293413172</v>
      </c>
      <c r="Q25" s="96">
        <v>16.086123233532945</v>
      </c>
      <c r="R25" s="96">
        <v>127.78148107784435</v>
      </c>
      <c r="S25" s="96">
        <v>1.6525988023952103E-2</v>
      </c>
      <c r="T25" s="96">
        <f t="shared" si="0"/>
        <v>2.575922035928059</v>
      </c>
      <c r="U25" s="93">
        <f t="shared" si="1"/>
        <v>14.672144790419217</v>
      </c>
      <c r="V25" s="93">
        <f t="shared" si="2"/>
        <v>141.82766407185622</v>
      </c>
      <c r="W25" s="95">
        <f t="shared" si="3"/>
        <v>6067.8961839281519</v>
      </c>
      <c r="X25" s="94">
        <f t="shared" si="4"/>
        <v>118.29085107784434</v>
      </c>
      <c r="Y25" s="94">
        <f t="shared" si="5"/>
        <v>117.0028900598803</v>
      </c>
      <c r="Z25" s="93">
        <f t="shared" si="6"/>
        <v>4711.2421100446563</v>
      </c>
      <c r="AA25" s="92">
        <f t="shared" si="7"/>
        <v>0.81977498780694968</v>
      </c>
      <c r="AB25" s="91">
        <f t="shared" si="8"/>
        <v>1074884.4668672725</v>
      </c>
      <c r="AC25" s="91">
        <f t="shared" si="9"/>
        <v>26767.224896758802</v>
      </c>
      <c r="AD25" s="101">
        <v>76.846150950275089</v>
      </c>
      <c r="AE25" s="61"/>
      <c r="AF25" s="61"/>
      <c r="AG25" s="119"/>
    </row>
    <row r="26" spans="1:34" s="89" customFormat="1" ht="15" customHeight="1" x14ac:dyDescent="0.25">
      <c r="A26" s="68" t="s">
        <v>372</v>
      </c>
      <c r="B26" s="97">
        <v>5</v>
      </c>
      <c r="C26" s="98">
        <v>14.3</v>
      </c>
      <c r="D26" s="91">
        <v>35.017820454545472</v>
      </c>
      <c r="E26" s="91">
        <v>48.706747488038232</v>
      </c>
      <c r="F26" s="91">
        <v>43.487419497607718</v>
      </c>
      <c r="G26" s="91">
        <v>40.266841387559815</v>
      </c>
      <c r="H26" s="91">
        <v>149.0955732057416</v>
      </c>
      <c r="I26" s="91">
        <v>147.10463277511968</v>
      </c>
      <c r="J26" s="91">
        <v>28.680650837320552</v>
      </c>
      <c r="K26" s="91">
        <v>154.11686913875579</v>
      </c>
      <c r="L26" s="91">
        <v>3.1031413875598015</v>
      </c>
      <c r="M26" s="91">
        <v>3.0885699760765557</v>
      </c>
      <c r="N26" s="91">
        <v>7.4808095693779961</v>
      </c>
      <c r="O26" s="96">
        <v>19.377165191387579</v>
      </c>
      <c r="P26" s="96">
        <v>19.046116746411496</v>
      </c>
      <c r="Q26" s="96">
        <v>18.749549043062203</v>
      </c>
      <c r="R26" s="96">
        <v>118.96707141148329</v>
      </c>
      <c r="S26" s="96">
        <v>1.2918899521531097E-2</v>
      </c>
      <c r="T26" s="96">
        <f t="shared" si="0"/>
        <v>1.9909404306219187</v>
      </c>
      <c r="U26" s="93">
        <f t="shared" si="1"/>
        <v>13.68892703349276</v>
      </c>
      <c r="V26" s="93">
        <f t="shared" si="2"/>
        <v>136.54197027511952</v>
      </c>
      <c r="W26" s="95">
        <f t="shared" si="3"/>
        <v>5841.7552442989017</v>
      </c>
      <c r="X26" s="94">
        <f t="shared" si="4"/>
        <v>148.10010299043063</v>
      </c>
      <c r="Y26" s="94">
        <f t="shared" si="5"/>
        <v>147.10463277511968</v>
      </c>
      <c r="Z26" s="93">
        <f t="shared" si="6"/>
        <v>5868.3375498825653</v>
      </c>
      <c r="AA26" s="92">
        <f t="shared" si="7"/>
        <v>0.77192764216079335</v>
      </c>
      <c r="AB26" s="91">
        <f t="shared" si="8"/>
        <v>1034825.2147043766</v>
      </c>
      <c r="AC26" s="91">
        <f t="shared" si="9"/>
        <v>14613.732553771406</v>
      </c>
      <c r="AD26" s="101">
        <v>76.292798023339145</v>
      </c>
      <c r="AE26" s="61"/>
      <c r="AF26" s="61"/>
      <c r="AG26" s="119"/>
    </row>
    <row r="27" spans="1:34" s="89" customFormat="1" ht="15" customHeight="1" x14ac:dyDescent="0.25">
      <c r="A27" s="68" t="s">
        <v>371</v>
      </c>
      <c r="B27" s="97">
        <v>6</v>
      </c>
      <c r="C27" s="98">
        <v>17.100000000000001</v>
      </c>
      <c r="D27" s="91">
        <v>29.752017985611445</v>
      </c>
      <c r="E27" s="91">
        <v>35.102537410071903</v>
      </c>
      <c r="F27" s="91">
        <v>32.700250839328525</v>
      </c>
      <c r="G27" s="91">
        <v>31.016723501199049</v>
      </c>
      <c r="H27" s="91">
        <v>122.40385335731415</v>
      </c>
      <c r="I27" s="91">
        <v>119.17481306954434</v>
      </c>
      <c r="J27" s="91">
        <v>26.516116187050383</v>
      </c>
      <c r="K27" s="91">
        <v>70.158906954436361</v>
      </c>
      <c r="L27" s="91">
        <v>3.0101226618705001</v>
      </c>
      <c r="M27" s="91">
        <v>2.994321702637885</v>
      </c>
      <c r="N27" s="91">
        <v>7.4857573141486649</v>
      </c>
      <c r="O27" s="96">
        <v>20.01916235011991</v>
      </c>
      <c r="P27" s="96">
        <v>19.975740887290154</v>
      </c>
      <c r="Q27" s="96">
        <v>19.674146043165461</v>
      </c>
      <c r="R27" s="96">
        <v>46.537627817745857</v>
      </c>
      <c r="S27" s="96">
        <v>4.6023860911270996E-2</v>
      </c>
      <c r="T27" s="96">
        <f t="shared" si="0"/>
        <v>3.2290402877698057</v>
      </c>
      <c r="U27" s="93">
        <f t="shared" si="1"/>
        <v>5.3505194244604581</v>
      </c>
      <c r="V27" s="93">
        <f t="shared" si="2"/>
        <v>58.348267386091109</v>
      </c>
      <c r="W27" s="95">
        <f t="shared" si="3"/>
        <v>2496.3481654150601</v>
      </c>
      <c r="X27" s="94">
        <f t="shared" si="4"/>
        <v>120.78933321342925</v>
      </c>
      <c r="Y27" s="94">
        <f t="shared" si="5"/>
        <v>119.17481306954434</v>
      </c>
      <c r="Z27" s="93">
        <f t="shared" si="6"/>
        <v>1546.1858279502653</v>
      </c>
      <c r="AA27" s="92">
        <f t="shared" si="7"/>
        <v>0.66331745800955844</v>
      </c>
      <c r="AB27" s="91">
        <f t="shared" si="8"/>
        <v>442210.24644495343</v>
      </c>
      <c r="AC27" s="91">
        <f t="shared" si="9"/>
        <v>6123.1396178056639</v>
      </c>
      <c r="AD27" s="101">
        <v>46.95528615249728</v>
      </c>
      <c r="AE27" s="61"/>
      <c r="AF27" s="61"/>
      <c r="AG27" s="119"/>
    </row>
    <row r="28" spans="1:34" s="89" customFormat="1" ht="15" customHeight="1" x14ac:dyDescent="0.25">
      <c r="A28" s="68" t="s">
        <v>370</v>
      </c>
      <c r="B28" s="97">
        <v>6</v>
      </c>
      <c r="C28" s="98">
        <v>17.100000000000001</v>
      </c>
      <c r="D28" s="91">
        <v>34.444138249400446</v>
      </c>
      <c r="E28" s="91">
        <v>48.490203477218195</v>
      </c>
      <c r="F28" s="91">
        <v>43.224151079136661</v>
      </c>
      <c r="G28" s="91">
        <v>39.587476618705004</v>
      </c>
      <c r="H28" s="91">
        <v>144.27483752997603</v>
      </c>
      <c r="I28" s="91">
        <v>142.39378225419659</v>
      </c>
      <c r="J28" s="91">
        <v>27.738267026378907</v>
      </c>
      <c r="K28" s="91">
        <v>155.1628184652277</v>
      </c>
      <c r="L28" s="91">
        <v>3.0396764988009597</v>
      </c>
      <c r="M28" s="91">
        <v>3.0249717026378788</v>
      </c>
      <c r="N28" s="91">
        <v>7.3985878896882582</v>
      </c>
      <c r="O28" s="96">
        <v>18.636179496402857</v>
      </c>
      <c r="P28" s="96">
        <v>18.100313549160653</v>
      </c>
      <c r="Q28" s="96">
        <v>18.038186091127095</v>
      </c>
      <c r="R28" s="96">
        <v>120.73050287769797</v>
      </c>
      <c r="S28" s="96">
        <v>1.2123860911270974E-2</v>
      </c>
      <c r="T28" s="96">
        <f t="shared" si="0"/>
        <v>1.8810552757794312</v>
      </c>
      <c r="U28" s="93">
        <f t="shared" si="1"/>
        <v>14.046065227817749</v>
      </c>
      <c r="V28" s="93">
        <f t="shared" si="2"/>
        <v>137.94666067146284</v>
      </c>
      <c r="W28" s="95">
        <f t="shared" si="3"/>
        <v>5901.8529378719531</v>
      </c>
      <c r="X28" s="94">
        <f t="shared" si="4"/>
        <v>143.33430989208631</v>
      </c>
      <c r="Y28" s="94">
        <f t="shared" si="5"/>
        <v>142.39378225419659</v>
      </c>
      <c r="Z28" s="93">
        <f t="shared" si="6"/>
        <v>6275.0446665385425</v>
      </c>
      <c r="AA28" s="92">
        <f t="shared" si="7"/>
        <v>0.77808913289851023</v>
      </c>
      <c r="AB28" s="91">
        <f t="shared" si="8"/>
        <v>1045471.091851603</v>
      </c>
      <c r="AC28" s="91">
        <f t="shared" si="9"/>
        <v>15885.291906393048</v>
      </c>
      <c r="AD28" s="101">
        <v>76.580003192896982</v>
      </c>
      <c r="AE28" s="61"/>
      <c r="AF28" s="61"/>
      <c r="AG28" s="119"/>
    </row>
    <row r="29" spans="1:34" s="89" customFormat="1" ht="15.75" customHeight="1" x14ac:dyDescent="0.25">
      <c r="A29" s="68" t="s">
        <v>369</v>
      </c>
      <c r="B29" s="97">
        <v>8</v>
      </c>
      <c r="C29" s="98">
        <v>22.8</v>
      </c>
      <c r="D29" s="91">
        <v>31.3303041966427</v>
      </c>
      <c r="E29" s="91">
        <v>34.666510311750613</v>
      </c>
      <c r="F29" s="91">
        <v>33.01105587529976</v>
      </c>
      <c r="G29" s="91">
        <v>31.859978537170289</v>
      </c>
      <c r="H29" s="91">
        <v>114.15059676259</v>
      </c>
      <c r="I29" s="91">
        <v>109.83789400479623</v>
      </c>
      <c r="J29" s="91">
        <v>30.230376978417279</v>
      </c>
      <c r="K29" s="91">
        <v>49.563669784172632</v>
      </c>
      <c r="L29" s="91">
        <v>3.0225575539568417</v>
      </c>
      <c r="M29" s="91">
        <v>3.0071401678657099</v>
      </c>
      <c r="N29" s="91">
        <v>7.5138258992805858</v>
      </c>
      <c r="O29" s="96">
        <v>24.204624700239798</v>
      </c>
      <c r="P29" s="96"/>
      <c r="Q29" s="96">
        <v>40.352987410071904</v>
      </c>
      <c r="R29" s="96">
        <v>29.124390647481995</v>
      </c>
      <c r="S29" s="96">
        <v>8.701378896882489E-2</v>
      </c>
      <c r="T29" s="96">
        <f t="shared" si="0"/>
        <v>4.3127027577937724</v>
      </c>
      <c r="U29" s="93">
        <f t="shared" si="1"/>
        <v>3.3362061151079132</v>
      </c>
      <c r="V29" s="93">
        <f t="shared" si="2"/>
        <v>39.344030215827317</v>
      </c>
      <c r="W29" s="95">
        <f t="shared" si="3"/>
        <v>1683.2787338725288</v>
      </c>
      <c r="X29" s="94">
        <f t="shared" si="4"/>
        <v>111.99424538369311</v>
      </c>
      <c r="Y29" s="94">
        <f t="shared" si="5"/>
        <v>109.83789400479623</v>
      </c>
      <c r="Z29" s="93">
        <f t="shared" si="6"/>
        <v>780.61430541697484</v>
      </c>
      <c r="AA29" s="92">
        <f t="shared" si="7"/>
        <v>0.58761570267709284</v>
      </c>
      <c r="AB29" s="91">
        <f t="shared" si="8"/>
        <v>298180.80428599077</v>
      </c>
      <c r="AC29" s="91">
        <f t="shared" si="9"/>
        <v>4405.2914624587202</v>
      </c>
      <c r="AD29" s="101">
        <v>42.150930082648038</v>
      </c>
      <c r="AE29" s="61"/>
      <c r="AF29" s="61"/>
    </row>
    <row r="30" spans="1:34" s="89" customFormat="1" ht="15" customHeight="1" x14ac:dyDescent="0.25">
      <c r="A30" s="68" t="s">
        <v>368</v>
      </c>
      <c r="B30" s="97">
        <v>8</v>
      </c>
      <c r="C30" s="98">
        <v>22.8</v>
      </c>
      <c r="D30" s="91">
        <v>32.901179952267242</v>
      </c>
      <c r="E30" s="91">
        <v>37.361398210023921</v>
      </c>
      <c r="F30" s="91">
        <v>35.417403579952243</v>
      </c>
      <c r="G30" s="91">
        <v>33.831897255369896</v>
      </c>
      <c r="H30" s="91">
        <v>116.57503949880673</v>
      </c>
      <c r="I30" s="91">
        <v>113.65564713603817</v>
      </c>
      <c r="J30" s="91">
        <v>30.867459427207681</v>
      </c>
      <c r="K30" s="91">
        <v>60.849718257756628</v>
      </c>
      <c r="L30" s="91">
        <v>3.0149301909307709</v>
      </c>
      <c r="M30" s="91">
        <v>2.9994640811455886</v>
      </c>
      <c r="N30" s="91">
        <v>7.494400357995227</v>
      </c>
      <c r="O30" s="96">
        <v>24.443885918854431</v>
      </c>
      <c r="P30" s="96"/>
      <c r="Q30" s="96">
        <v>43.684031980906909</v>
      </c>
      <c r="R30" s="96">
        <v>38.834501193317386</v>
      </c>
      <c r="S30" s="96">
        <v>4.7977446300715987E-2</v>
      </c>
      <c r="T30" s="96">
        <f t="shared" si="0"/>
        <v>2.9193923627685621</v>
      </c>
      <c r="U30" s="93">
        <f t="shared" si="1"/>
        <v>4.4602182577566793</v>
      </c>
      <c r="V30" s="93">
        <f t="shared" si="2"/>
        <v>49.842109725537007</v>
      </c>
      <c r="W30" s="95">
        <f t="shared" si="3"/>
        <v>2132.4242303623241</v>
      </c>
      <c r="X30" s="94">
        <f t="shared" si="4"/>
        <v>115.11534331742246</v>
      </c>
      <c r="Y30" s="94">
        <f t="shared" si="5"/>
        <v>113.65564713603817</v>
      </c>
      <c r="Z30" s="93">
        <f t="shared" si="6"/>
        <v>1460.8685406986961</v>
      </c>
      <c r="AA30" s="92">
        <f t="shared" si="7"/>
        <v>0.63820346757919588</v>
      </c>
      <c r="AB30" s="91">
        <f t="shared" si="8"/>
        <v>377743.72080704023</v>
      </c>
      <c r="AC30" s="91">
        <f t="shared" si="9"/>
        <v>5679.9260579315678</v>
      </c>
      <c r="AD30" s="101">
        <v>47.150605176988201</v>
      </c>
      <c r="AE30" s="61"/>
      <c r="AF30" s="61"/>
    </row>
    <row r="31" spans="1:34" s="89" customFormat="1" ht="15" customHeight="1" x14ac:dyDescent="0.25">
      <c r="A31" s="68" t="s">
        <v>367</v>
      </c>
      <c r="B31" s="97">
        <v>8</v>
      </c>
      <c r="C31" s="98">
        <v>22.8</v>
      </c>
      <c r="D31" s="91">
        <v>30.767173205741663</v>
      </c>
      <c r="E31" s="91">
        <v>36.028751794258419</v>
      </c>
      <c r="F31" s="91">
        <v>33.798822488038262</v>
      </c>
      <c r="G31" s="91">
        <v>32.11857177033491</v>
      </c>
      <c r="H31" s="91">
        <v>116.9072687799044</v>
      </c>
      <c r="I31" s="91">
        <v>114.65727858851686</v>
      </c>
      <c r="J31" s="91">
        <v>28.917429425837319</v>
      </c>
      <c r="K31" s="91">
        <v>68.797447607655428</v>
      </c>
      <c r="L31" s="91">
        <v>3.0329832535885175</v>
      </c>
      <c r="M31" s="91">
        <v>3.0178096889952171</v>
      </c>
      <c r="N31" s="91">
        <v>7.4977697368421055</v>
      </c>
      <c r="O31" s="96">
        <v>21.75063744019139</v>
      </c>
      <c r="P31" s="96"/>
      <c r="Q31" s="96">
        <v>43.739271889952164</v>
      </c>
      <c r="R31" s="96">
        <v>45.835248923444993</v>
      </c>
      <c r="S31" s="96">
        <v>3.2710047846889884E-2</v>
      </c>
      <c r="T31" s="96">
        <f t="shared" si="0"/>
        <v>2.2499901913875391</v>
      </c>
      <c r="U31" s="93">
        <f t="shared" si="1"/>
        <v>5.2615785885167554</v>
      </c>
      <c r="V31" s="93">
        <f t="shared" si="2"/>
        <v>57.316348265550211</v>
      </c>
      <c r="W31" s="95">
        <f t="shared" si="3"/>
        <v>2452.198964096478</v>
      </c>
      <c r="X31" s="94">
        <f t="shared" si="4"/>
        <v>115.78227368421062</v>
      </c>
      <c r="Y31" s="94">
        <f t="shared" si="5"/>
        <v>114.65727858851686</v>
      </c>
      <c r="Z31" s="93">
        <f t="shared" si="6"/>
        <v>2179.7419148607532</v>
      </c>
      <c r="AA31" s="92">
        <f t="shared" si="7"/>
        <v>0.6662347298818202</v>
      </c>
      <c r="AB31" s="91">
        <f t="shared" si="8"/>
        <v>434389.53078280459</v>
      </c>
      <c r="AC31" s="91">
        <f t="shared" si="9"/>
        <v>6481.5626346764038</v>
      </c>
      <c r="AD31" s="101">
        <v>47.638018686773783</v>
      </c>
      <c r="AE31" s="61"/>
      <c r="AF31" s="61"/>
      <c r="AG31" s="119"/>
      <c r="AH31" s="119"/>
    </row>
    <row r="32" spans="1:34" s="89" customFormat="1" ht="15" customHeight="1" x14ac:dyDescent="0.25">
      <c r="A32" s="68" t="s">
        <v>366</v>
      </c>
      <c r="B32" s="97">
        <v>8</v>
      </c>
      <c r="C32" s="98">
        <v>22.8</v>
      </c>
      <c r="D32" s="91">
        <v>28.631429940119784</v>
      </c>
      <c r="E32" s="91">
        <v>34.048388862275488</v>
      </c>
      <c r="F32" s="91">
        <v>31.750118323353341</v>
      </c>
      <c r="G32" s="91">
        <v>29.909258203592813</v>
      </c>
      <c r="H32" s="91">
        <v>117.11135041916177</v>
      </c>
      <c r="I32" s="91">
        <v>114.48770850299393</v>
      </c>
      <c r="J32" s="91">
        <v>25.902907784431122</v>
      </c>
      <c r="K32" s="91">
        <v>69.971169221556863</v>
      </c>
      <c r="L32" s="91">
        <v>3.0203883832335454</v>
      </c>
      <c r="M32" s="91">
        <v>3.0052755688622748</v>
      </c>
      <c r="N32" s="91">
        <v>7.4664732934131886</v>
      </c>
      <c r="O32" s="96">
        <v>19.23059101796407</v>
      </c>
      <c r="P32" s="96">
        <v>18.889207425149699</v>
      </c>
      <c r="Q32" s="96">
        <v>18.766371976047907</v>
      </c>
      <c r="R32" s="96">
        <v>46.996855089820293</v>
      </c>
      <c r="S32" s="96">
        <v>3.7494970059880284E-2</v>
      </c>
      <c r="T32" s="96">
        <f t="shared" si="0"/>
        <v>2.6236419161678413</v>
      </c>
      <c r="U32" s="93">
        <f t="shared" si="1"/>
        <v>5.416958922155704</v>
      </c>
      <c r="V32" s="93">
        <f t="shared" si="2"/>
        <v>58.484012155688575</v>
      </c>
      <c r="W32" s="95">
        <f t="shared" si="3"/>
        <v>2502.1558135549276</v>
      </c>
      <c r="X32" s="94">
        <f t="shared" si="4"/>
        <v>115.79952946107784</v>
      </c>
      <c r="Y32" s="94">
        <f t="shared" si="5"/>
        <v>114.48770850299393</v>
      </c>
      <c r="Z32" s="93">
        <f t="shared" si="6"/>
        <v>1907.391247361724</v>
      </c>
      <c r="AA32" s="92">
        <f t="shared" si="7"/>
        <v>0.6716602796933312</v>
      </c>
      <c r="AB32" s="91">
        <f t="shared" si="8"/>
        <v>443239.02982972999</v>
      </c>
      <c r="AC32" s="91">
        <f t="shared" si="9"/>
        <v>6481.166075640177</v>
      </c>
      <c r="AD32" s="101">
        <v>46.098930209583337</v>
      </c>
      <c r="AE32" s="61"/>
      <c r="AF32" s="61"/>
      <c r="AH32" s="61"/>
    </row>
    <row r="33" spans="1:34" s="61" customFormat="1" ht="15" customHeight="1" x14ac:dyDescent="0.25">
      <c r="A33" s="104" t="s">
        <v>365</v>
      </c>
      <c r="B33" s="97">
        <v>8</v>
      </c>
      <c r="C33" s="98">
        <v>22.8</v>
      </c>
      <c r="D33" s="93">
        <v>30.52</v>
      </c>
      <c r="E33" s="93">
        <v>45.26</v>
      </c>
      <c r="F33" s="93">
        <v>39.93</v>
      </c>
      <c r="G33" s="93">
        <v>34.17</v>
      </c>
      <c r="H33" s="93">
        <v>119.9</v>
      </c>
      <c r="I33" s="93">
        <v>117.1</v>
      </c>
      <c r="J33" s="93">
        <v>32.26</v>
      </c>
      <c r="K33" s="93">
        <v>70.61</v>
      </c>
      <c r="L33" s="93">
        <v>3.01</v>
      </c>
      <c r="M33" s="93">
        <v>3</v>
      </c>
      <c r="N33" s="103">
        <v>3.06</v>
      </c>
      <c r="O33" s="97"/>
      <c r="P33" s="97"/>
      <c r="Q33" s="97"/>
      <c r="R33" s="98">
        <v>52.46</v>
      </c>
      <c r="S33" s="98"/>
      <c r="T33" s="96">
        <f t="shared" si="0"/>
        <v>2.8000000000000114</v>
      </c>
      <c r="U33" s="93">
        <f t="shared" si="1"/>
        <v>14.739999999999998</v>
      </c>
      <c r="V33" s="93">
        <f t="shared" si="2"/>
        <v>61.534999999999997</v>
      </c>
      <c r="W33" s="95">
        <f t="shared" si="3"/>
        <v>2632.6880169784354</v>
      </c>
      <c r="X33" s="94">
        <f t="shared" si="4"/>
        <v>118.5</v>
      </c>
      <c r="Y33" s="94">
        <f t="shared" si="5"/>
        <v>117.1</v>
      </c>
      <c r="Z33" s="93">
        <f t="shared" si="6"/>
        <v>1880.4914406988748</v>
      </c>
      <c r="AA33" s="92">
        <f t="shared" si="7"/>
        <v>0.74295425577113727</v>
      </c>
      <c r="AB33" s="91">
        <f t="shared" si="8"/>
        <v>466361.87729332276</v>
      </c>
      <c r="AC33" s="91">
        <f t="shared" si="9"/>
        <v>8135.3931344062848</v>
      </c>
      <c r="AD33" s="101">
        <v>59.774942736205269</v>
      </c>
      <c r="AG33" s="89"/>
      <c r="AH33" s="89"/>
    </row>
    <row r="34" spans="1:34" s="61" customFormat="1" ht="15" customHeight="1" x14ac:dyDescent="0.25">
      <c r="A34" s="104" t="s">
        <v>364</v>
      </c>
      <c r="B34" s="97">
        <v>8</v>
      </c>
      <c r="C34" s="98">
        <v>22.8</v>
      </c>
      <c r="D34" s="93">
        <v>30.2</v>
      </c>
      <c r="E34" s="93">
        <v>41.17</v>
      </c>
      <c r="F34" s="93">
        <v>36.93</v>
      </c>
      <c r="G34" s="93">
        <v>33.4</v>
      </c>
      <c r="H34" s="93">
        <v>118.4</v>
      </c>
      <c r="I34" s="93">
        <v>115.9</v>
      </c>
      <c r="J34" s="93">
        <v>29.47</v>
      </c>
      <c r="K34" s="93">
        <v>69.47</v>
      </c>
      <c r="L34" s="93">
        <v>3.01</v>
      </c>
      <c r="M34" s="93">
        <v>3</v>
      </c>
      <c r="N34" s="103">
        <v>4.08</v>
      </c>
      <c r="O34" s="97"/>
      <c r="P34" s="97"/>
      <c r="Q34" s="97"/>
      <c r="R34" s="98">
        <v>52.03</v>
      </c>
      <c r="S34" s="98"/>
      <c r="T34" s="96">
        <f t="shared" si="0"/>
        <v>2.5</v>
      </c>
      <c r="U34" s="93">
        <f t="shared" si="1"/>
        <v>10.970000000000002</v>
      </c>
      <c r="V34" s="93">
        <f t="shared" si="2"/>
        <v>60.75</v>
      </c>
      <c r="W34" s="95">
        <f t="shared" si="3"/>
        <v>2599.1029012990971</v>
      </c>
      <c r="X34" s="94">
        <f t="shared" si="4"/>
        <v>117.15</v>
      </c>
      <c r="Y34" s="94">
        <f t="shared" si="5"/>
        <v>115.9</v>
      </c>
      <c r="Z34" s="93">
        <f t="shared" si="6"/>
        <v>2079.2823210392776</v>
      </c>
      <c r="AA34" s="92">
        <f t="shared" si="7"/>
        <v>0.74895638405066933</v>
      </c>
      <c r="AB34" s="91">
        <f t="shared" si="8"/>
        <v>460412.51394441148</v>
      </c>
      <c r="AC34" s="91">
        <f t="shared" si="9"/>
        <v>7640.4771711098447</v>
      </c>
      <c r="AD34" s="101">
        <v>55.640345578765391</v>
      </c>
      <c r="AG34" s="89"/>
      <c r="AH34" s="89"/>
    </row>
    <row r="35" spans="1:34" s="89" customFormat="1" ht="15" customHeight="1" x14ac:dyDescent="0.25">
      <c r="A35" s="102" t="s">
        <v>363</v>
      </c>
      <c r="B35" s="97">
        <v>8</v>
      </c>
      <c r="C35" s="98">
        <v>22.8</v>
      </c>
      <c r="D35" s="93">
        <v>33.362730750893924</v>
      </c>
      <c r="E35" s="93">
        <v>42.176229558998791</v>
      </c>
      <c r="F35" s="93">
        <v>38.784338259833099</v>
      </c>
      <c r="G35" s="93">
        <v>36.110134922526782</v>
      </c>
      <c r="H35" s="93">
        <v>119.54606567342086</v>
      </c>
      <c r="I35" s="93">
        <v>116.6610746126341</v>
      </c>
      <c r="J35" s="93">
        <v>32.04524469606676</v>
      </c>
      <c r="K35" s="93">
        <v>71.146059356376597</v>
      </c>
      <c r="L35" s="93">
        <v>3.0257410011918897</v>
      </c>
      <c r="M35" s="93">
        <v>3.0111426698450576</v>
      </c>
      <c r="N35" s="103">
        <v>5.0734259833134754</v>
      </c>
      <c r="O35" s="105">
        <v>25.765352085816446</v>
      </c>
      <c r="P35" s="105"/>
      <c r="Q35" s="105">
        <v>49.079843623361185</v>
      </c>
      <c r="R35" s="105">
        <v>51.948089153754566</v>
      </c>
      <c r="S35" s="105">
        <v>4.055160905840291E-2</v>
      </c>
      <c r="T35" s="96">
        <f t="shared" si="0"/>
        <v>2.8849910607867599</v>
      </c>
      <c r="U35" s="93">
        <f t="shared" si="1"/>
        <v>8.8134988081048675</v>
      </c>
      <c r="V35" s="93">
        <f t="shared" si="2"/>
        <v>61.547074255065581</v>
      </c>
      <c r="W35" s="95">
        <f t="shared" si="3"/>
        <v>2633.2045969187147</v>
      </c>
      <c r="X35" s="94">
        <f t="shared" si="4"/>
        <v>118.10357014302747</v>
      </c>
      <c r="Y35" s="94">
        <f t="shared" si="5"/>
        <v>116.6610746126341</v>
      </c>
      <c r="Z35" s="93">
        <f t="shared" si="6"/>
        <v>1825.4507840316371</v>
      </c>
      <c r="AA35" s="92">
        <f t="shared" si="7"/>
        <v>0.73016115894124534</v>
      </c>
      <c r="AB35" s="91">
        <f t="shared" si="8"/>
        <v>466453.38573988661</v>
      </c>
      <c r="AC35" s="91">
        <f t="shared" si="9"/>
        <v>7695.3880525437626</v>
      </c>
      <c r="AD35" s="101">
        <v>56.046407417820276</v>
      </c>
      <c r="AE35" s="61"/>
      <c r="AF35" s="61"/>
      <c r="AH35" s="61"/>
    </row>
    <row r="36" spans="1:34" s="89" customFormat="1" ht="15" customHeight="1" x14ac:dyDescent="0.25">
      <c r="A36" s="102" t="s">
        <v>362</v>
      </c>
      <c r="B36" s="97">
        <v>8</v>
      </c>
      <c r="C36" s="98">
        <v>22.8</v>
      </c>
      <c r="D36" s="93">
        <v>34.046808023952075</v>
      </c>
      <c r="E36" s="93">
        <v>41.167602395209592</v>
      </c>
      <c r="F36" s="93">
        <v>38.420985988023908</v>
      </c>
      <c r="G36" s="93">
        <v>36.055552335329367</v>
      </c>
      <c r="H36" s="93">
        <v>120.57545317365273</v>
      </c>
      <c r="I36" s="93">
        <v>116.46740874251499</v>
      </c>
      <c r="J36" s="93">
        <v>31.68238275449097</v>
      </c>
      <c r="K36" s="93">
        <v>70.339547784431147</v>
      </c>
      <c r="L36" s="93">
        <v>3.0189868263473056</v>
      </c>
      <c r="M36" s="93">
        <v>3.0039813173652683</v>
      </c>
      <c r="N36" s="103">
        <v>6.0355731736526925</v>
      </c>
      <c r="O36" s="105">
        <v>25.311208742514978</v>
      </c>
      <c r="P36" s="105"/>
      <c r="Q36" s="105">
        <v>47.648194131736467</v>
      </c>
      <c r="R36" s="105">
        <v>49.930091497005989</v>
      </c>
      <c r="S36" s="105">
        <v>5.8405748502993966E-2</v>
      </c>
      <c r="T36" s="96">
        <f t="shared" ref="T36:T67" si="10">H36-I36</f>
        <v>4.108044431137742</v>
      </c>
      <c r="U36" s="93">
        <f t="shared" ref="U36:U67" si="11">E36-D36</f>
        <v>7.1207943712575172</v>
      </c>
      <c r="V36" s="93">
        <f t="shared" ref="V36:V67" si="12">(K36+R36)/2</f>
        <v>60.134819640718568</v>
      </c>
      <c r="W36" s="95">
        <f t="shared" ref="W36:W67" si="13">V36/(PI()*0.006*1.24)</f>
        <v>2572.7832789677295</v>
      </c>
      <c r="X36" s="94">
        <f t="shared" ref="X36:X67" si="14">(I36+H36)/2</f>
        <v>118.52143095808387</v>
      </c>
      <c r="Y36" s="94">
        <f t="shared" ref="Y36:Y67" si="15">I36</f>
        <v>116.46740874251499</v>
      </c>
      <c r="Z36" s="93">
        <f t="shared" ref="Z36:Z67" si="16">W36/(X36-I36)</f>
        <v>1252.5586429722116</v>
      </c>
      <c r="AA36" s="92">
        <f t="shared" ref="AA36:AA67" si="17">R36/K36</f>
        <v>0.70984379441884105</v>
      </c>
      <c r="AB36" s="91">
        <f t="shared" ref="AB36:AB67" si="18">V36/(PI()*0.006*0.007)</f>
        <v>455750.18084571202</v>
      </c>
      <c r="AC36" s="91">
        <f t="shared" ref="AC36:AC67" si="19">AB36/(I36-AD36)</f>
        <v>7308.7570806168824</v>
      </c>
      <c r="AD36" s="101">
        <v>54.110680256575868</v>
      </c>
      <c r="AE36" s="61"/>
      <c r="AF36" s="61"/>
    </row>
    <row r="37" spans="1:34" s="61" customFormat="1" ht="15" customHeight="1" x14ac:dyDescent="0.25">
      <c r="A37" s="104" t="s">
        <v>361</v>
      </c>
      <c r="B37" s="97">
        <v>8</v>
      </c>
      <c r="C37" s="98">
        <v>22.8</v>
      </c>
      <c r="D37" s="93">
        <v>35.11</v>
      </c>
      <c r="E37" s="93">
        <v>39.979999999999997</v>
      </c>
      <c r="F37" s="93">
        <v>37.869999999999997</v>
      </c>
      <c r="G37" s="93">
        <v>36</v>
      </c>
      <c r="H37" s="93">
        <v>120.1</v>
      </c>
      <c r="I37" s="93">
        <v>117.3</v>
      </c>
      <c r="J37" s="93">
        <v>32.35</v>
      </c>
      <c r="K37" s="93">
        <v>71.7</v>
      </c>
      <c r="L37" s="93">
        <v>3.04</v>
      </c>
      <c r="M37" s="93">
        <v>3.02</v>
      </c>
      <c r="N37" s="103">
        <v>8.51</v>
      </c>
      <c r="O37" s="97"/>
      <c r="P37" s="97"/>
      <c r="Q37" s="97"/>
      <c r="R37" s="98">
        <v>48.24</v>
      </c>
      <c r="S37" s="98"/>
      <c r="T37" s="96">
        <f t="shared" si="10"/>
        <v>2.7999999999999972</v>
      </c>
      <c r="U37" s="93">
        <f t="shared" si="11"/>
        <v>4.8699999999999974</v>
      </c>
      <c r="V37" s="93">
        <f t="shared" si="12"/>
        <v>59.97</v>
      </c>
      <c r="W37" s="95">
        <f t="shared" si="13"/>
        <v>2565.7317035540223</v>
      </c>
      <c r="X37" s="94">
        <f t="shared" si="14"/>
        <v>118.69999999999999</v>
      </c>
      <c r="Y37" s="94">
        <f t="shared" si="15"/>
        <v>117.3</v>
      </c>
      <c r="Z37" s="93">
        <f t="shared" si="16"/>
        <v>1832.6655025385985</v>
      </c>
      <c r="AA37" s="92">
        <f t="shared" si="17"/>
        <v>0.67280334728033475</v>
      </c>
      <c r="AB37" s="91">
        <f t="shared" si="18"/>
        <v>454501.04462956963</v>
      </c>
      <c r="AC37" s="91">
        <f t="shared" si="19"/>
        <v>6905.6062582616651</v>
      </c>
      <c r="AD37" s="101">
        <v>51.483759161504764</v>
      </c>
      <c r="AG37" s="89"/>
      <c r="AH37" s="89"/>
    </row>
    <row r="38" spans="1:34" s="89" customFormat="1" ht="15" customHeight="1" x14ac:dyDescent="0.25">
      <c r="A38" s="102" t="s">
        <v>360</v>
      </c>
      <c r="B38" s="97">
        <v>8</v>
      </c>
      <c r="C38" s="98">
        <v>22.8</v>
      </c>
      <c r="D38" s="91">
        <v>35.754564952153054</v>
      </c>
      <c r="E38" s="91">
        <v>42.237655502392379</v>
      </c>
      <c r="F38" s="91">
        <v>39.531081339712912</v>
      </c>
      <c r="G38" s="91">
        <v>37.572723564593339</v>
      </c>
      <c r="H38" s="91">
        <v>122.68854473684205</v>
      </c>
      <c r="I38" s="91">
        <v>119.36422165071779</v>
      </c>
      <c r="J38" s="91">
        <v>32.293758133971288</v>
      </c>
      <c r="K38" s="91">
        <v>80.126858373205735</v>
      </c>
      <c r="L38" s="91">
        <v>3.0355625598085965</v>
      </c>
      <c r="M38" s="91">
        <v>3.0199509569377945</v>
      </c>
      <c r="N38" s="91">
        <v>7.4812193779904312</v>
      </c>
      <c r="O38" s="96">
        <v>25.185979904306222</v>
      </c>
      <c r="P38" s="96"/>
      <c r="Q38" s="96">
        <v>50.558858971291919</v>
      </c>
      <c r="R38" s="96">
        <v>56.346101794258459</v>
      </c>
      <c r="S38" s="96">
        <v>4.1486842105263141E-2</v>
      </c>
      <c r="T38" s="96">
        <f t="shared" si="10"/>
        <v>3.3243230861242523</v>
      </c>
      <c r="U38" s="93">
        <f t="shared" si="11"/>
        <v>6.483090550239325</v>
      </c>
      <c r="V38" s="93">
        <f t="shared" si="12"/>
        <v>68.23648008373209</v>
      </c>
      <c r="W38" s="95">
        <f t="shared" si="13"/>
        <v>2919.4013721821589</v>
      </c>
      <c r="X38" s="94">
        <f t="shared" si="14"/>
        <v>121.02638319377992</v>
      </c>
      <c r="Y38" s="94">
        <f t="shared" si="15"/>
        <v>119.36422165071779</v>
      </c>
      <c r="Z38" s="93">
        <f t="shared" si="16"/>
        <v>1756.388471606602</v>
      </c>
      <c r="AA38" s="92">
        <f t="shared" si="17"/>
        <v>0.70321116961576124</v>
      </c>
      <c r="AB38" s="91">
        <f t="shared" si="18"/>
        <v>517151.10021512519</v>
      </c>
      <c r="AC38" s="91">
        <f t="shared" si="19"/>
        <v>8159.0549846921922</v>
      </c>
      <c r="AD38" s="101">
        <v>55.980520819507475</v>
      </c>
      <c r="AE38" s="61"/>
      <c r="AF38" s="61"/>
    </row>
    <row r="39" spans="1:34" s="89" customFormat="1" ht="15" customHeight="1" x14ac:dyDescent="0.25">
      <c r="A39" s="68" t="s">
        <v>359</v>
      </c>
      <c r="B39" s="97">
        <v>8</v>
      </c>
      <c r="C39" s="98">
        <v>22.8</v>
      </c>
      <c r="D39" s="91">
        <v>35.427689486260419</v>
      </c>
      <c r="E39" s="91">
        <v>42.951120549581866</v>
      </c>
      <c r="F39" s="91">
        <v>40.053254599761047</v>
      </c>
      <c r="G39" s="91">
        <v>37.67867956989253</v>
      </c>
      <c r="H39" s="91">
        <v>125.52143106332134</v>
      </c>
      <c r="I39" s="91">
        <v>122.23163285543602</v>
      </c>
      <c r="J39" s="91">
        <v>31.472538829151784</v>
      </c>
      <c r="K39" s="91">
        <v>90.465931302270008</v>
      </c>
      <c r="L39" s="91">
        <v>3.0351335722819788</v>
      </c>
      <c r="M39" s="91">
        <v>3.0198542413381091</v>
      </c>
      <c r="N39" s="91">
        <v>7.4868666666666419</v>
      </c>
      <c r="O39" s="96">
        <v>23.979911947431326</v>
      </c>
      <c r="P39" s="96"/>
      <c r="Q39" s="96">
        <v>52.86460728793309</v>
      </c>
      <c r="R39" s="96">
        <v>65.437463201911527</v>
      </c>
      <c r="S39" s="96">
        <v>3.6366069295101583E-2</v>
      </c>
      <c r="T39" s="96">
        <f t="shared" si="10"/>
        <v>3.2897982078853261</v>
      </c>
      <c r="U39" s="93">
        <f t="shared" si="11"/>
        <v>7.5234310633214463</v>
      </c>
      <c r="V39" s="93">
        <f t="shared" si="12"/>
        <v>77.951697252090767</v>
      </c>
      <c r="W39" s="95">
        <f t="shared" si="13"/>
        <v>3335.053209697086</v>
      </c>
      <c r="X39" s="94">
        <f t="shared" si="14"/>
        <v>123.87653195937868</v>
      </c>
      <c r="Y39" s="94">
        <f t="shared" si="15"/>
        <v>122.23163285543602</v>
      </c>
      <c r="Z39" s="93">
        <f t="shared" si="16"/>
        <v>2027.5123268675193</v>
      </c>
      <c r="AA39" s="92">
        <f t="shared" si="17"/>
        <v>0.72333819217831397</v>
      </c>
      <c r="AB39" s="91">
        <f t="shared" si="18"/>
        <v>590780.85428919806</v>
      </c>
      <c r="AC39" s="91">
        <f t="shared" si="19"/>
        <v>9313.6499303641558</v>
      </c>
      <c r="AD39" s="101">
        <v>58.79991073722033</v>
      </c>
      <c r="AE39" s="61"/>
      <c r="AF39" s="61"/>
    </row>
    <row r="40" spans="1:34" s="89" customFormat="1" ht="15" customHeight="1" x14ac:dyDescent="0.25">
      <c r="A40" s="68" t="s">
        <v>358</v>
      </c>
      <c r="B40" s="97">
        <v>8</v>
      </c>
      <c r="C40" s="98">
        <v>22.8</v>
      </c>
      <c r="D40" s="91">
        <v>38.38863932853716</v>
      </c>
      <c r="E40" s="91">
        <v>48.942957673860917</v>
      </c>
      <c r="F40" s="91">
        <v>44.895392805755385</v>
      </c>
      <c r="G40" s="91">
        <v>42.162086091127115</v>
      </c>
      <c r="H40" s="91">
        <v>134.72309580335741</v>
      </c>
      <c r="I40" s="91">
        <v>131.63917625899285</v>
      </c>
      <c r="J40" s="91">
        <v>33.482402038369287</v>
      </c>
      <c r="K40" s="91">
        <v>119.34662098321334</v>
      </c>
      <c r="L40" s="91">
        <v>3.0556826139088744</v>
      </c>
      <c r="M40" s="91">
        <v>3.040384652278179</v>
      </c>
      <c r="N40" s="91">
        <v>7.4293304556354895</v>
      </c>
      <c r="O40" s="96">
        <v>25.123447002398077</v>
      </c>
      <c r="P40" s="96"/>
      <c r="Q40" s="96">
        <v>64.429600000000008</v>
      </c>
      <c r="R40" s="96">
        <v>91.095255995203729</v>
      </c>
      <c r="S40" s="96">
        <v>2.583920863309357E-2</v>
      </c>
      <c r="T40" s="96">
        <f t="shared" si="10"/>
        <v>3.0839195443645622</v>
      </c>
      <c r="U40" s="93">
        <f t="shared" si="11"/>
        <v>10.554318345323757</v>
      </c>
      <c r="V40" s="93">
        <f t="shared" si="12"/>
        <v>105.22093848920854</v>
      </c>
      <c r="W40" s="95">
        <f t="shared" si="13"/>
        <v>4501.7291605714527</v>
      </c>
      <c r="X40" s="94">
        <f t="shared" si="14"/>
        <v>133.18113603117513</v>
      </c>
      <c r="Y40" s="94">
        <f t="shared" si="15"/>
        <v>131.63917625899285</v>
      </c>
      <c r="Z40" s="93">
        <f t="shared" si="16"/>
        <v>2919.4854767192237</v>
      </c>
      <c r="AA40" s="92">
        <f t="shared" si="17"/>
        <v>0.76328307617537572</v>
      </c>
      <c r="AB40" s="91">
        <f t="shared" si="18"/>
        <v>797449.16558694292</v>
      </c>
      <c r="AC40" s="91">
        <f t="shared" si="19"/>
        <v>12988.51223408915</v>
      </c>
      <c r="AD40" s="101">
        <v>70.242678244848591</v>
      </c>
      <c r="AE40" s="61"/>
      <c r="AF40" s="61"/>
    </row>
    <row r="41" spans="1:34" s="89" customFormat="1" ht="15" customHeight="1" x14ac:dyDescent="0.25">
      <c r="A41" s="68" t="s">
        <v>357</v>
      </c>
      <c r="B41" s="97">
        <v>8</v>
      </c>
      <c r="C41" s="98">
        <v>22.8</v>
      </c>
      <c r="D41" s="91">
        <v>39.036286762936236</v>
      </c>
      <c r="E41" s="91">
        <v>53.448218050541506</v>
      </c>
      <c r="F41" s="91">
        <v>48.315519735258711</v>
      </c>
      <c r="G41" s="91">
        <v>44.789245006016849</v>
      </c>
      <c r="H41" s="91">
        <v>143.42338134777378</v>
      </c>
      <c r="I41" s="91">
        <v>140.58336161251498</v>
      </c>
      <c r="J41" s="91">
        <v>33.524765342960293</v>
      </c>
      <c r="K41" s="91">
        <v>156.74992851985544</v>
      </c>
      <c r="L41" s="91">
        <v>3.0547030084235876</v>
      </c>
      <c r="M41" s="91">
        <v>3.0397648616125172</v>
      </c>
      <c r="N41" s="91">
        <v>7.3782489771359794</v>
      </c>
      <c r="O41" s="96">
        <v>23.41731131167268</v>
      </c>
      <c r="P41" s="96"/>
      <c r="Q41" s="96">
        <v>74.670493381468034</v>
      </c>
      <c r="R41" s="96">
        <v>123.53674139590838</v>
      </c>
      <c r="S41" s="96">
        <v>1.8119855595667846E-2</v>
      </c>
      <c r="T41" s="96">
        <f t="shared" si="10"/>
        <v>2.8400197352588066</v>
      </c>
      <c r="U41" s="93">
        <f t="shared" si="11"/>
        <v>14.41193128760527</v>
      </c>
      <c r="V41" s="93">
        <f t="shared" si="12"/>
        <v>140.1433349578819</v>
      </c>
      <c r="W41" s="95">
        <f t="shared" si="13"/>
        <v>5995.8345429919682</v>
      </c>
      <c r="X41" s="94">
        <f t="shared" si="14"/>
        <v>142.00337148014438</v>
      </c>
      <c r="Y41" s="94">
        <f t="shared" si="15"/>
        <v>140.58336161251498</v>
      </c>
      <c r="Z41" s="93">
        <f t="shared" si="16"/>
        <v>4222.3893507173652</v>
      </c>
      <c r="AA41" s="92">
        <f t="shared" si="17"/>
        <v>0.78811354213957452</v>
      </c>
      <c r="AB41" s="91">
        <f t="shared" si="18"/>
        <v>1062119.2619014343</v>
      </c>
      <c r="AC41" s="91">
        <f t="shared" si="19"/>
        <v>17999.072154309444</v>
      </c>
      <c r="AD41" s="101">
        <v>81.573694181011547</v>
      </c>
      <c r="AE41" s="61"/>
      <c r="AF41" s="61"/>
      <c r="AG41" s="119"/>
      <c r="AH41" s="119"/>
    </row>
    <row r="42" spans="1:34" s="89" customFormat="1" ht="15" customHeight="1" x14ac:dyDescent="0.25">
      <c r="A42" s="68" t="s">
        <v>356</v>
      </c>
      <c r="B42" s="97">
        <v>8</v>
      </c>
      <c r="C42" s="98">
        <v>22.8</v>
      </c>
      <c r="D42" s="91">
        <v>35.509500120772948</v>
      </c>
      <c r="E42" s="91">
        <v>50.162377294685939</v>
      </c>
      <c r="F42" s="91">
        <v>43.626247705314</v>
      </c>
      <c r="G42" s="91">
        <v>41.187716304347802</v>
      </c>
      <c r="H42" s="91">
        <v>142.74300205314006</v>
      </c>
      <c r="I42" s="91">
        <v>140.53977705314009</v>
      </c>
      <c r="J42" s="91">
        <v>25.087940700483063</v>
      </c>
      <c r="K42" s="91">
        <v>156.37574746376814</v>
      </c>
      <c r="L42" s="91">
        <v>3.0432363526570043</v>
      </c>
      <c r="M42" s="91">
        <v>3.0283792270531347</v>
      </c>
      <c r="N42" s="91">
        <v>7.4315864734299248</v>
      </c>
      <c r="O42" s="96">
        <v>15.23207403381643</v>
      </c>
      <c r="P42" s="96">
        <v>16.69777185990338</v>
      </c>
      <c r="Q42" s="96">
        <v>16.061420772946871</v>
      </c>
      <c r="R42" s="96">
        <v>126.50647741545895</v>
      </c>
      <c r="S42" s="96">
        <v>1.4088768115941981E-2</v>
      </c>
      <c r="T42" s="96">
        <f t="shared" si="10"/>
        <v>2.2032249999999749</v>
      </c>
      <c r="U42" s="93">
        <f t="shared" si="11"/>
        <v>14.652877173912991</v>
      </c>
      <c r="V42" s="93">
        <f t="shared" si="12"/>
        <v>141.44111243961353</v>
      </c>
      <c r="W42" s="95">
        <f t="shared" si="13"/>
        <v>6051.3581185970597</v>
      </c>
      <c r="X42" s="94">
        <f t="shared" si="14"/>
        <v>141.64138955314007</v>
      </c>
      <c r="Y42" s="94">
        <f t="shared" si="15"/>
        <v>140.53977705314009</v>
      </c>
      <c r="Z42" s="93">
        <f t="shared" si="16"/>
        <v>5493.1821476218984</v>
      </c>
      <c r="AA42" s="92">
        <f t="shared" si="17"/>
        <v>0.80899039312199084</v>
      </c>
      <c r="AB42" s="91">
        <f t="shared" si="18"/>
        <v>1071954.8667229076</v>
      </c>
      <c r="AC42" s="91">
        <f t="shared" si="19"/>
        <v>17504.252341800624</v>
      </c>
      <c r="AD42" s="101">
        <v>79.30009392979693</v>
      </c>
      <c r="AE42" s="61"/>
      <c r="AF42" s="61"/>
    </row>
    <row r="43" spans="1:34" s="89" customFormat="1" ht="15" customHeight="1" x14ac:dyDescent="0.25">
      <c r="A43" s="68" t="s">
        <v>355</v>
      </c>
      <c r="B43" s="97">
        <v>10</v>
      </c>
      <c r="C43" s="98">
        <v>28.5</v>
      </c>
      <c r="D43" s="91">
        <v>28.298021556886233</v>
      </c>
      <c r="E43" s="91">
        <v>33.580377844311386</v>
      </c>
      <c r="F43" s="91">
        <v>31.123526706586837</v>
      </c>
      <c r="G43" s="91">
        <v>29.7603838323353</v>
      </c>
      <c r="H43" s="91">
        <v>123.49521461077846</v>
      </c>
      <c r="I43" s="91">
        <v>122.09435604790426</v>
      </c>
      <c r="J43" s="91">
        <v>25.846791137724505</v>
      </c>
      <c r="K43" s="91">
        <v>70.21142838323351</v>
      </c>
      <c r="L43" s="91">
        <v>3.0104623952095806</v>
      </c>
      <c r="M43" s="91">
        <v>2.9953724550898215</v>
      </c>
      <c r="N43" s="91">
        <v>7.4902247904191421</v>
      </c>
      <c r="O43" s="96">
        <v>19.516264191616791</v>
      </c>
      <c r="P43" s="96">
        <v>23.294711736526949</v>
      </c>
      <c r="Q43" s="96">
        <v>18.929843592814372</v>
      </c>
      <c r="R43" s="96">
        <v>45.975781916167733</v>
      </c>
      <c r="S43" s="96">
        <v>1.9951137724550889E-2</v>
      </c>
      <c r="T43" s="96">
        <f t="shared" si="10"/>
        <v>1.4008585628742054</v>
      </c>
      <c r="U43" s="93">
        <f t="shared" si="11"/>
        <v>5.2823562874251522</v>
      </c>
      <c r="V43" s="93">
        <f t="shared" si="12"/>
        <v>58.093605149700622</v>
      </c>
      <c r="W43" s="95">
        <f t="shared" si="13"/>
        <v>2485.4528015063552</v>
      </c>
      <c r="X43" s="94">
        <f t="shared" si="14"/>
        <v>122.79478532934135</v>
      </c>
      <c r="Y43" s="94">
        <f t="shared" si="15"/>
        <v>122.09435604790426</v>
      </c>
      <c r="Z43" s="93">
        <f t="shared" si="16"/>
        <v>3548.4707269902588</v>
      </c>
      <c r="AA43" s="92">
        <f t="shared" si="17"/>
        <v>0.6548190654264876</v>
      </c>
      <c r="AB43" s="91">
        <f t="shared" si="18"/>
        <v>440280.21055255429</v>
      </c>
      <c r="AC43" s="91">
        <f t="shared" si="19"/>
        <v>5740.4774470893681</v>
      </c>
      <c r="AD43" s="101">
        <v>45.396866229214616</v>
      </c>
      <c r="AE43" s="61"/>
      <c r="AF43" s="61"/>
      <c r="AG43" s="119"/>
      <c r="AH43" s="119"/>
    </row>
    <row r="44" spans="1:34" s="89" customFormat="1" ht="15" customHeight="1" x14ac:dyDescent="0.25">
      <c r="A44" s="68" t="s">
        <v>354</v>
      </c>
      <c r="B44" s="97">
        <v>10</v>
      </c>
      <c r="C44" s="98">
        <v>28.5</v>
      </c>
      <c r="D44" s="91">
        <v>32.304156766467074</v>
      </c>
      <c r="E44" s="91">
        <v>37.725759161676621</v>
      </c>
      <c r="F44" s="91">
        <v>35.439703113772509</v>
      </c>
      <c r="G44" s="91">
        <v>33.670730059880242</v>
      </c>
      <c r="H44" s="91">
        <v>121.77343652694594</v>
      </c>
      <c r="I44" s="91">
        <v>119.38590718562882</v>
      </c>
      <c r="J44" s="91">
        <v>29.941704910179674</v>
      </c>
      <c r="K44" s="91">
        <v>70.4516931736527</v>
      </c>
      <c r="L44" s="91">
        <v>3.0162233532934133</v>
      </c>
      <c r="M44" s="91">
        <v>3.0006015568862279</v>
      </c>
      <c r="N44" s="91">
        <v>7.5319742514969938</v>
      </c>
      <c r="O44" s="96">
        <v>24.097268383233509</v>
      </c>
      <c r="P44" s="96">
        <v>23.361791377245513</v>
      </c>
      <c r="Q44" s="96">
        <v>23.258663832335312</v>
      </c>
      <c r="R44" s="96">
        <v>47.442463473053884</v>
      </c>
      <c r="S44" s="96">
        <v>3.3896047904191602E-2</v>
      </c>
      <c r="T44" s="96">
        <f t="shared" si="10"/>
        <v>2.3875293413171192</v>
      </c>
      <c r="U44" s="93">
        <f t="shared" si="11"/>
        <v>5.4216023952095469</v>
      </c>
      <c r="V44" s="93">
        <f t="shared" si="12"/>
        <v>58.947078323353296</v>
      </c>
      <c r="W44" s="95">
        <f t="shared" si="13"/>
        <v>2521.9674451577393</v>
      </c>
      <c r="X44" s="94">
        <f t="shared" si="14"/>
        <v>120.57967185628738</v>
      </c>
      <c r="Y44" s="94">
        <f t="shared" si="15"/>
        <v>119.38590718562882</v>
      </c>
      <c r="Z44" s="93">
        <f t="shared" si="16"/>
        <v>2112.6169228701251</v>
      </c>
      <c r="AA44" s="92">
        <f t="shared" si="17"/>
        <v>0.67340416299315098</v>
      </c>
      <c r="AB44" s="91">
        <f t="shared" si="18"/>
        <v>446748.51885651384</v>
      </c>
      <c r="AC44" s="91">
        <f t="shared" si="19"/>
        <v>6402.0270165114207</v>
      </c>
      <c r="AD44" s="101">
        <v>49.60355267442354</v>
      </c>
      <c r="AE44" s="61"/>
      <c r="AF44" s="61"/>
    </row>
    <row r="45" spans="1:34" s="89" customFormat="1" ht="15" customHeight="1" x14ac:dyDescent="0.25">
      <c r="A45" s="68" t="s">
        <v>353</v>
      </c>
      <c r="B45" s="97">
        <v>10</v>
      </c>
      <c r="C45" s="98">
        <v>28.5</v>
      </c>
      <c r="D45" s="91">
        <v>24.899620503597141</v>
      </c>
      <c r="E45" s="91">
        <v>30.978629976019164</v>
      </c>
      <c r="F45" s="91">
        <v>28.128372302158301</v>
      </c>
      <c r="G45" s="91">
        <v>26.673526618705043</v>
      </c>
      <c r="H45" s="91">
        <v>89.328728057554073</v>
      </c>
      <c r="I45" s="91">
        <v>83.58063501199031</v>
      </c>
      <c r="J45" s="91">
        <v>20.274040407673866</v>
      </c>
      <c r="K45" s="91">
        <v>70.404411630695449</v>
      </c>
      <c r="L45" s="91">
        <v>2.9979621103117449</v>
      </c>
      <c r="M45" s="91">
        <v>2.9826149880095922</v>
      </c>
      <c r="N45" s="91">
        <v>7.3921871702637949</v>
      </c>
      <c r="O45" s="96">
        <v>15.405645563549161</v>
      </c>
      <c r="P45" s="96">
        <v>15.191389088728995</v>
      </c>
      <c r="Q45" s="96">
        <v>14.969904676258972</v>
      </c>
      <c r="R45" s="96">
        <v>52.231105515587494</v>
      </c>
      <c r="S45" s="96">
        <v>8.1634892086330957E-2</v>
      </c>
      <c r="T45" s="96">
        <f t="shared" si="10"/>
        <v>5.7480930455637633</v>
      </c>
      <c r="U45" s="93">
        <f t="shared" si="11"/>
        <v>6.0790094724220225</v>
      </c>
      <c r="V45" s="93">
        <f t="shared" si="12"/>
        <v>61.317758573141475</v>
      </c>
      <c r="W45" s="95">
        <f t="shared" si="13"/>
        <v>2623.3936495244379</v>
      </c>
      <c r="X45" s="94">
        <f t="shared" si="14"/>
        <v>86.454681534772192</v>
      </c>
      <c r="Y45" s="94">
        <f t="shared" si="15"/>
        <v>83.58063501199031</v>
      </c>
      <c r="Z45" s="93">
        <f t="shared" si="16"/>
        <v>912.78746837583242</v>
      </c>
      <c r="AA45" s="92">
        <f t="shared" si="17"/>
        <v>0.74187262283455235</v>
      </c>
      <c r="AB45" s="91">
        <f t="shared" si="18"/>
        <v>464715.44648718607</v>
      </c>
      <c r="AC45" s="91">
        <f t="shared" si="19"/>
        <v>11930.175941909449</v>
      </c>
      <c r="AD45" s="101">
        <v>44.627693433426515</v>
      </c>
      <c r="AE45" s="61"/>
      <c r="AF45" s="61"/>
    </row>
    <row r="46" spans="1:34" s="89" customFormat="1" ht="15" customHeight="1" x14ac:dyDescent="0.25">
      <c r="A46" s="68" t="s">
        <v>352</v>
      </c>
      <c r="B46" s="97">
        <v>10</v>
      </c>
      <c r="C46" s="98">
        <v>28.5</v>
      </c>
      <c r="D46" s="91">
        <v>37.471588898450911</v>
      </c>
      <c r="E46" s="91">
        <v>51.424410757314973</v>
      </c>
      <c r="F46" s="91">
        <v>46.489020654044729</v>
      </c>
      <c r="G46" s="91">
        <v>43.005652237521637</v>
      </c>
      <c r="H46" s="91">
        <v>146.78837650602418</v>
      </c>
      <c r="I46" s="91">
        <v>145.44218752151448</v>
      </c>
      <c r="J46" s="91">
        <v>20.659540705679845</v>
      </c>
      <c r="K46" s="91">
        <v>154.24858898450961</v>
      </c>
      <c r="L46" s="91">
        <v>3.0595652323580151</v>
      </c>
      <c r="M46" s="91">
        <v>3.044832013769367</v>
      </c>
      <c r="N46" s="91">
        <v>7.4775783132529714</v>
      </c>
      <c r="O46" s="96">
        <v>21.234905335628241</v>
      </c>
      <c r="P46" s="96">
        <v>22.297055421686728</v>
      </c>
      <c r="Q46" s="96">
        <v>20.531225989672976</v>
      </c>
      <c r="R46" s="96">
        <v>121.20894810671236</v>
      </c>
      <c r="S46" s="96">
        <v>8.7260757314974145E-3</v>
      </c>
      <c r="T46" s="96">
        <f t="shared" si="10"/>
        <v>1.3461889845096948</v>
      </c>
      <c r="U46" s="93">
        <f t="shared" si="11"/>
        <v>13.952821858864063</v>
      </c>
      <c r="V46" s="93">
        <f t="shared" si="12"/>
        <v>137.72876854561099</v>
      </c>
      <c r="W46" s="95">
        <f t="shared" si="13"/>
        <v>5892.5307311810593</v>
      </c>
      <c r="X46" s="94">
        <f t="shared" si="14"/>
        <v>146.11528201376933</v>
      </c>
      <c r="Y46" s="94">
        <f t="shared" si="15"/>
        <v>145.44218752151448</v>
      </c>
      <c r="Z46" s="93">
        <f t="shared" si="16"/>
        <v>8754.3885724591928</v>
      </c>
      <c r="AA46" s="92">
        <f t="shared" si="17"/>
        <v>0.78580263783732085</v>
      </c>
      <c r="AB46" s="91">
        <f t="shared" si="18"/>
        <v>1043819.7295235018</v>
      </c>
      <c r="AC46" s="91">
        <f t="shared" si="19"/>
        <v>15753.23052899267</v>
      </c>
      <c r="AD46" s="100">
        <v>79.181509903521913</v>
      </c>
      <c r="AE46" s="61"/>
      <c r="AF46" s="61"/>
      <c r="AG46" s="119"/>
      <c r="AH46" s="119"/>
    </row>
    <row r="47" spans="1:34" s="89" customFormat="1" ht="15" customHeight="1" x14ac:dyDescent="0.25">
      <c r="A47" s="68" t="s">
        <v>351</v>
      </c>
      <c r="B47" s="97">
        <v>10</v>
      </c>
      <c r="C47" s="98">
        <v>28.5</v>
      </c>
      <c r="D47" s="91">
        <v>41.178299559471412</v>
      </c>
      <c r="E47" s="91">
        <v>55.529053303964737</v>
      </c>
      <c r="F47" s="91">
        <v>50.320798502202614</v>
      </c>
      <c r="G47" s="91">
        <v>46.752311277533018</v>
      </c>
      <c r="H47" s="91">
        <v>148.77303392070496</v>
      </c>
      <c r="I47" s="91">
        <v>146.78008387665213</v>
      </c>
      <c r="J47" s="91">
        <v>33.11816625550663</v>
      </c>
      <c r="K47" s="91">
        <v>155.25905929515409</v>
      </c>
      <c r="L47" s="91">
        <v>3.0544811453744569</v>
      </c>
      <c r="M47" s="91">
        <v>3.0389203524229149</v>
      </c>
      <c r="N47" s="91">
        <v>7.4172466960352379</v>
      </c>
      <c r="O47" s="96">
        <v>24.857765374449311</v>
      </c>
      <c r="P47" s="96">
        <v>24.378706784140906</v>
      </c>
      <c r="Q47" s="96">
        <v>24.234679383259945</v>
      </c>
      <c r="R47" s="96">
        <v>123.66875603524211</v>
      </c>
      <c r="S47" s="96">
        <v>1.2837621145374426E-2</v>
      </c>
      <c r="T47" s="96">
        <f t="shared" si="10"/>
        <v>1.9929500440528329</v>
      </c>
      <c r="U47" s="93">
        <f t="shared" si="11"/>
        <v>14.350753744493325</v>
      </c>
      <c r="V47" s="93">
        <f t="shared" si="12"/>
        <v>139.46390766519809</v>
      </c>
      <c r="W47" s="95">
        <f t="shared" si="13"/>
        <v>5966.7662064053629</v>
      </c>
      <c r="X47" s="94">
        <f t="shared" si="14"/>
        <v>147.77655889867856</v>
      </c>
      <c r="Y47" s="94">
        <f t="shared" si="15"/>
        <v>146.78008387665213</v>
      </c>
      <c r="Z47" s="93">
        <f t="shared" si="16"/>
        <v>5987.8733279950684</v>
      </c>
      <c r="AA47" s="92">
        <f t="shared" si="17"/>
        <v>0.79653165874296927</v>
      </c>
      <c r="AB47" s="91">
        <f t="shared" si="18"/>
        <v>1056970.0137060927</v>
      </c>
      <c r="AC47" s="91">
        <f t="shared" si="19"/>
        <v>16677.204474210284</v>
      </c>
      <c r="AD47" s="100">
        <v>83.401955045732251</v>
      </c>
      <c r="AE47" s="61"/>
      <c r="AF47" s="61"/>
    </row>
    <row r="48" spans="1:34" s="89" customFormat="1" ht="15" customHeight="1" x14ac:dyDescent="0.25">
      <c r="A48" s="68" t="s">
        <v>350</v>
      </c>
      <c r="B48" s="97">
        <v>15</v>
      </c>
      <c r="C48" s="98">
        <v>28.5</v>
      </c>
      <c r="D48" s="91">
        <v>30.997700000000012</v>
      </c>
      <c r="E48" s="91">
        <v>45.364186107784384</v>
      </c>
      <c r="F48" s="91">
        <v>39.636029461077833</v>
      </c>
      <c r="G48" s="91">
        <v>36.498961796407187</v>
      </c>
      <c r="H48" s="91">
        <v>131.05023772455084</v>
      </c>
      <c r="I48" s="91">
        <v>128.0325068263474</v>
      </c>
      <c r="J48" s="91">
        <v>22.294620239520967</v>
      </c>
      <c r="K48" s="91">
        <v>155.87639856287427</v>
      </c>
      <c r="L48" s="91">
        <v>3.0510552095808094</v>
      </c>
      <c r="M48" s="91">
        <v>3.0361401197604865</v>
      </c>
      <c r="N48" s="91">
        <v>7.4821185628742501</v>
      </c>
      <c r="O48" s="96">
        <v>13.809544431137715</v>
      </c>
      <c r="P48" s="96">
        <v>14.252459640718561</v>
      </c>
      <c r="Q48" s="96">
        <v>13.630831497005994</v>
      </c>
      <c r="R48" s="96">
        <v>124.88857616766479</v>
      </c>
      <c r="S48" s="96">
        <v>1.9360359281437145E-2</v>
      </c>
      <c r="T48" s="96">
        <f t="shared" si="10"/>
        <v>3.017730898203439</v>
      </c>
      <c r="U48" s="93">
        <f t="shared" si="11"/>
        <v>14.366486107784372</v>
      </c>
      <c r="V48" s="93">
        <f t="shared" si="12"/>
        <v>140.38248736526953</v>
      </c>
      <c r="W48" s="95">
        <f t="shared" si="13"/>
        <v>6006.0663407844595</v>
      </c>
      <c r="X48" s="94">
        <f t="shared" si="14"/>
        <v>129.54137227544913</v>
      </c>
      <c r="Y48" s="94">
        <f t="shared" si="15"/>
        <v>128.0325068263474</v>
      </c>
      <c r="Z48" s="93">
        <f t="shared" si="16"/>
        <v>3980.5181730153772</v>
      </c>
      <c r="AA48" s="92">
        <f t="shared" si="17"/>
        <v>0.80120260231243257</v>
      </c>
      <c r="AB48" s="91">
        <f t="shared" si="18"/>
        <v>1063931.751796104</v>
      </c>
      <c r="AC48" s="91">
        <f t="shared" si="19"/>
        <v>19956.3541977678</v>
      </c>
      <c r="AD48" s="100">
        <v>74.719574952492948</v>
      </c>
      <c r="AE48" s="61"/>
      <c r="AF48" s="61"/>
    </row>
    <row r="49" spans="1:35" s="89" customFormat="1" ht="15" customHeight="1" x14ac:dyDescent="0.25">
      <c r="A49" s="68" t="s">
        <v>349</v>
      </c>
      <c r="B49" s="97">
        <v>15</v>
      </c>
      <c r="C49" s="98">
        <v>42.8</v>
      </c>
      <c r="D49" s="91">
        <v>22.780889328537128</v>
      </c>
      <c r="E49" s="91">
        <v>28.230260551558718</v>
      </c>
      <c r="F49" s="91">
        <v>25.696688848920861</v>
      </c>
      <c r="G49" s="91">
        <v>24.264121462829756</v>
      </c>
      <c r="H49" s="91">
        <v>124.03221390887285</v>
      </c>
      <c r="I49" s="91">
        <v>121.45264028776984</v>
      </c>
      <c r="J49" s="91">
        <v>21.486849520383689</v>
      </c>
      <c r="K49" s="91">
        <v>70.615332134292601</v>
      </c>
      <c r="L49" s="91">
        <v>2.9801453237410085</v>
      </c>
      <c r="M49" s="91">
        <v>2.9645652278177494</v>
      </c>
      <c r="N49" s="91">
        <v>7.2507473621103031</v>
      </c>
      <c r="O49" s="96">
        <v>14.041604556354939</v>
      </c>
      <c r="P49" s="96">
        <v>14.511921223021561</v>
      </c>
      <c r="Q49" s="96">
        <v>13.888411270983219</v>
      </c>
      <c r="R49" s="96">
        <v>45.936116666666678</v>
      </c>
      <c r="S49" s="96">
        <v>3.6531055155875333E-2</v>
      </c>
      <c r="T49" s="96">
        <f t="shared" si="10"/>
        <v>2.5795736211030089</v>
      </c>
      <c r="U49" s="93">
        <f t="shared" si="11"/>
        <v>5.4493712230215898</v>
      </c>
      <c r="V49" s="93">
        <f t="shared" si="12"/>
        <v>58.275724400479639</v>
      </c>
      <c r="W49" s="95">
        <f t="shared" si="13"/>
        <v>2493.2445162896006</v>
      </c>
      <c r="X49" s="94">
        <f t="shared" si="14"/>
        <v>122.74242709832134</v>
      </c>
      <c r="Y49" s="94">
        <f t="shared" si="15"/>
        <v>121.45264028776984</v>
      </c>
      <c r="Z49" s="93">
        <f t="shared" si="16"/>
        <v>1933.0671517903843</v>
      </c>
      <c r="AA49" s="92">
        <f t="shared" si="17"/>
        <v>0.65051193952196862</v>
      </c>
      <c r="AB49" s="91">
        <f t="shared" si="18"/>
        <v>441660.4571713006</v>
      </c>
      <c r="AC49" s="91">
        <f t="shared" si="19"/>
        <v>5458.755152047338</v>
      </c>
      <c r="AD49" s="100">
        <v>40.543999971551727</v>
      </c>
      <c r="AE49" s="61"/>
      <c r="AF49" s="61"/>
    </row>
    <row r="50" spans="1:35" s="89" customFormat="1" ht="15" customHeight="1" x14ac:dyDescent="0.25">
      <c r="A50" s="68" t="s">
        <v>348</v>
      </c>
      <c r="B50" s="97">
        <v>15</v>
      </c>
      <c r="C50" s="98">
        <v>42.8</v>
      </c>
      <c r="D50" s="91">
        <v>32.635233532934102</v>
      </c>
      <c r="E50" s="91">
        <v>46.025373532934104</v>
      </c>
      <c r="F50" s="91">
        <v>40.600895089820327</v>
      </c>
      <c r="G50" s="91">
        <v>38.667692335329328</v>
      </c>
      <c r="H50" s="91">
        <v>163.56948143712592</v>
      </c>
      <c r="I50" s="91">
        <v>162.21232107784414</v>
      </c>
      <c r="J50" s="91">
        <v>24.936088862275458</v>
      </c>
      <c r="K50" s="91">
        <v>155.61292263473052</v>
      </c>
      <c r="L50" s="91">
        <v>3.0516421556886337</v>
      </c>
      <c r="M50" s="91">
        <v>3.0369595209580895</v>
      </c>
      <c r="N50" s="91">
        <v>7.5088298203592831</v>
      </c>
      <c r="O50" s="96">
        <v>15.230123113772448</v>
      </c>
      <c r="P50" s="96">
        <v>16.374234371257494</v>
      </c>
      <c r="Q50" s="96">
        <v>15.724816526946098</v>
      </c>
      <c r="R50" s="96">
        <v>116.8107459880239</v>
      </c>
      <c r="S50" s="96">
        <v>8.7220359281437159E-3</v>
      </c>
      <c r="T50" s="96">
        <f t="shared" si="10"/>
        <v>1.357160359281778</v>
      </c>
      <c r="U50" s="93">
        <f t="shared" si="11"/>
        <v>13.390140000000002</v>
      </c>
      <c r="V50" s="93">
        <f t="shared" si="12"/>
        <v>136.2118343113772</v>
      </c>
      <c r="W50" s="95">
        <f t="shared" si="13"/>
        <v>5827.6308436209456</v>
      </c>
      <c r="X50" s="94">
        <f t="shared" si="14"/>
        <v>162.89090125748504</v>
      </c>
      <c r="Y50" s="94">
        <f t="shared" si="15"/>
        <v>162.21232107784414</v>
      </c>
      <c r="Z50" s="93">
        <f t="shared" si="16"/>
        <v>8587.9768057841902</v>
      </c>
      <c r="AA50" s="92">
        <f t="shared" si="17"/>
        <v>0.75064939344538373</v>
      </c>
      <c r="AB50" s="91">
        <f t="shared" si="18"/>
        <v>1032323.178012853</v>
      </c>
      <c r="AC50" s="91">
        <f t="shared" si="19"/>
        <v>11628.249725697437</v>
      </c>
      <c r="AD50" s="100">
        <v>73.435144601189435</v>
      </c>
      <c r="AE50" s="61"/>
      <c r="AF50" s="61"/>
    </row>
    <row r="51" spans="1:35" s="89" customFormat="1" ht="15" customHeight="1" x14ac:dyDescent="0.25">
      <c r="A51" s="68" t="s">
        <v>347</v>
      </c>
      <c r="B51" s="97">
        <v>20</v>
      </c>
      <c r="C51" s="98">
        <v>57</v>
      </c>
      <c r="D51" s="91">
        <v>25.018973892215563</v>
      </c>
      <c r="E51" s="91">
        <v>29.902265029940139</v>
      </c>
      <c r="F51" s="91">
        <v>27.652656167664674</v>
      </c>
      <c r="G51" s="91">
        <v>26.462256646706553</v>
      </c>
      <c r="H51" s="91">
        <v>144.19955197604787</v>
      </c>
      <c r="I51" s="91">
        <v>132.42755796407181</v>
      </c>
      <c r="J51" s="91">
        <v>24.958215209580821</v>
      </c>
      <c r="K51" s="91">
        <v>70.235993413173617</v>
      </c>
      <c r="L51" s="91">
        <v>3.0056405988023909</v>
      </c>
      <c r="M51" s="91">
        <v>2.9905176047904241</v>
      </c>
      <c r="N51" s="91">
        <v>7.3696937724550819</v>
      </c>
      <c r="O51" s="96">
        <v>16.157305748502989</v>
      </c>
      <c r="P51" s="96">
        <v>16.935337485029933</v>
      </c>
      <c r="Q51" s="96">
        <v>16.319727185628736</v>
      </c>
      <c r="R51" s="96">
        <v>41.829205029940091</v>
      </c>
      <c r="S51" s="96">
        <v>0.16759784431137714</v>
      </c>
      <c r="T51" s="96">
        <f t="shared" si="10"/>
        <v>11.771994011976062</v>
      </c>
      <c r="U51" s="93">
        <f t="shared" si="11"/>
        <v>4.8832911377245765</v>
      </c>
      <c r="V51" s="93">
        <f t="shared" si="12"/>
        <v>56.03259922155685</v>
      </c>
      <c r="W51" s="95">
        <f t="shared" si="13"/>
        <v>2397.2755753757688</v>
      </c>
      <c r="X51" s="94">
        <f t="shared" si="14"/>
        <v>138.31355497005984</v>
      </c>
      <c r="Y51" s="94">
        <f t="shared" si="15"/>
        <v>132.42755796407181</v>
      </c>
      <c r="Z51" s="93">
        <f t="shared" si="16"/>
        <v>407.28453870039965</v>
      </c>
      <c r="AA51" s="92">
        <f t="shared" si="17"/>
        <v>0.59555226597100441</v>
      </c>
      <c r="AB51" s="91">
        <f t="shared" si="18"/>
        <v>424660.24478085042</v>
      </c>
      <c r="AC51" s="91">
        <f t="shared" si="19"/>
        <v>4643.1698091091566</v>
      </c>
      <c r="AD51" s="100">
        <v>40.968433650389606</v>
      </c>
      <c r="AE51" s="61"/>
      <c r="AF51" s="61"/>
    </row>
    <row r="52" spans="1:35" s="89" customFormat="1" ht="15" customHeight="1" x14ac:dyDescent="0.25">
      <c r="A52" s="68" t="s">
        <v>346</v>
      </c>
      <c r="B52" s="97">
        <v>20</v>
      </c>
      <c r="C52" s="98">
        <v>57</v>
      </c>
      <c r="D52" s="91">
        <v>31.325911418269211</v>
      </c>
      <c r="E52" s="91">
        <v>43.788375600961572</v>
      </c>
      <c r="F52" s="91">
        <v>38.887819831730752</v>
      </c>
      <c r="G52" s="91">
        <v>36.039976562499959</v>
      </c>
      <c r="H52" s="91">
        <v>199.93955456730802</v>
      </c>
      <c r="I52" s="91">
        <v>197.9795387019231</v>
      </c>
      <c r="J52" s="91">
        <v>27.760827043269266</v>
      </c>
      <c r="K52" s="91">
        <v>155.76721406250002</v>
      </c>
      <c r="L52" s="91">
        <v>2.9720311298077036</v>
      </c>
      <c r="M52" s="91">
        <v>2.9564338942307722</v>
      </c>
      <c r="N52" s="91">
        <v>7.495533293269224</v>
      </c>
      <c r="O52" s="96">
        <v>16.011200480769222</v>
      </c>
      <c r="P52" s="96">
        <v>16.973109615384626</v>
      </c>
      <c r="Q52" s="96">
        <v>16.54098521634614</v>
      </c>
      <c r="R52" s="96">
        <v>108.53037932692317</v>
      </c>
      <c r="S52" s="96">
        <v>1.2582932692307695E-2</v>
      </c>
      <c r="T52" s="96">
        <f t="shared" si="10"/>
        <v>1.9600158653849178</v>
      </c>
      <c r="U52" s="93">
        <f t="shared" si="11"/>
        <v>12.462464182692361</v>
      </c>
      <c r="V52" s="93">
        <f t="shared" si="12"/>
        <v>132.14879669471159</v>
      </c>
      <c r="W52" s="95">
        <f t="shared" si="13"/>
        <v>5653.7995208627071</v>
      </c>
      <c r="X52" s="94">
        <f t="shared" si="14"/>
        <v>198.95954663461555</v>
      </c>
      <c r="Y52" s="94">
        <f t="shared" si="15"/>
        <v>197.9795387019231</v>
      </c>
      <c r="Z52" s="93">
        <f t="shared" si="16"/>
        <v>5769.1364857931567</v>
      </c>
      <c r="AA52" s="92">
        <f t="shared" si="17"/>
        <v>0.69674725827333894</v>
      </c>
      <c r="AB52" s="91">
        <f t="shared" si="18"/>
        <v>1001530.2008385366</v>
      </c>
      <c r="AC52" s="91">
        <f t="shared" si="19"/>
        <v>7801.4011527248304</v>
      </c>
      <c r="AD52" s="100">
        <v>69.601292123905822</v>
      </c>
      <c r="AE52" s="61"/>
      <c r="AF52" s="61"/>
      <c r="AH52" s="99"/>
    </row>
    <row r="53" spans="1:35" s="89" customFormat="1" ht="15" hidden="1" customHeight="1" x14ac:dyDescent="0.25">
      <c r="A53" s="68" t="s">
        <v>345</v>
      </c>
      <c r="B53" s="97">
        <v>3</v>
      </c>
      <c r="C53" s="98">
        <v>8.6</v>
      </c>
      <c r="D53" s="91">
        <v>39.770338225225252</v>
      </c>
      <c r="E53" s="91">
        <v>53.946717495495434</v>
      </c>
      <c r="F53" s="91">
        <v>48.807727873873858</v>
      </c>
      <c r="G53" s="91">
        <v>42.409753999999957</v>
      </c>
      <c r="H53" s="91">
        <v>152.6175116756757</v>
      </c>
      <c r="I53" s="91">
        <v>148.22583463063066</v>
      </c>
      <c r="J53" s="91">
        <v>33.670677900900884</v>
      </c>
      <c r="K53" s="91">
        <v>156.88383938738755</v>
      </c>
      <c r="L53" s="91">
        <v>2.5883768468468409</v>
      </c>
      <c r="M53" s="91">
        <v>2.5624639999999967</v>
      </c>
      <c r="N53" s="91">
        <v>7.0125168468468475</v>
      </c>
      <c r="O53" s="97"/>
      <c r="P53" s="97"/>
      <c r="Q53" s="97"/>
      <c r="R53" s="97"/>
      <c r="S53" s="97"/>
      <c r="T53" s="96">
        <f t="shared" si="10"/>
        <v>4.3916770450450429</v>
      </c>
      <c r="U53" s="93">
        <f t="shared" si="11"/>
        <v>14.176379270270182</v>
      </c>
      <c r="V53" s="93">
        <f t="shared" si="12"/>
        <v>78.441919693693777</v>
      </c>
      <c r="W53" s="95">
        <f t="shared" si="13"/>
        <v>3356.0266841045318</v>
      </c>
      <c r="X53" s="94">
        <f t="shared" si="14"/>
        <v>150.42167315315317</v>
      </c>
      <c r="Y53" s="94">
        <f t="shared" si="15"/>
        <v>148.22583463063066</v>
      </c>
      <c r="Z53" s="93">
        <f t="shared" si="16"/>
        <v>1528.3576864519339</v>
      </c>
      <c r="AA53" s="92">
        <f t="shared" si="17"/>
        <v>0</v>
      </c>
      <c r="AB53" s="91">
        <f t="shared" si="18"/>
        <v>594496.15546994552</v>
      </c>
      <c r="AC53" s="91">
        <f t="shared" si="19"/>
        <v>8787.4377868508782</v>
      </c>
      <c r="AD53" s="90">
        <v>80.572877091685399</v>
      </c>
      <c r="AE53" s="61"/>
      <c r="AF53" s="61"/>
      <c r="AH53" s="99"/>
    </row>
    <row r="54" spans="1:35" s="89" customFormat="1" ht="15" hidden="1" customHeight="1" x14ac:dyDescent="0.25">
      <c r="A54" s="68" t="s">
        <v>344</v>
      </c>
      <c r="B54" s="97">
        <v>3</v>
      </c>
      <c r="C54" s="98">
        <v>8.6</v>
      </c>
      <c r="D54" s="91">
        <v>34.062459613526585</v>
      </c>
      <c r="E54" s="91">
        <v>39.000253574879217</v>
      </c>
      <c r="F54" s="91">
        <v>36.968976338164254</v>
      </c>
      <c r="G54" s="91">
        <v>33.714293014492725</v>
      </c>
      <c r="H54" s="91">
        <v>125.35959846376824</v>
      </c>
      <c r="I54" s="91">
        <v>119.8623305024155</v>
      </c>
      <c r="J54" s="91">
        <v>30.118888599033845</v>
      </c>
      <c r="K54" s="91">
        <v>69.860722898550719</v>
      </c>
      <c r="L54" s="91">
        <v>2.2706199130434812</v>
      </c>
      <c r="M54" s="91">
        <v>2.2521465797101499</v>
      </c>
      <c r="N54" s="91">
        <v>6.8220685410627988</v>
      </c>
      <c r="O54" s="97"/>
      <c r="P54" s="97"/>
      <c r="Q54" s="97"/>
      <c r="R54" s="97"/>
      <c r="S54" s="97"/>
      <c r="T54" s="96">
        <f t="shared" si="10"/>
        <v>5.4972679613527333</v>
      </c>
      <c r="U54" s="93">
        <f t="shared" si="11"/>
        <v>4.9377939613526323</v>
      </c>
      <c r="V54" s="93">
        <f t="shared" si="12"/>
        <v>34.93036144927536</v>
      </c>
      <c r="W54" s="95">
        <f t="shared" si="13"/>
        <v>1494.4461528598804</v>
      </c>
      <c r="X54" s="94">
        <f t="shared" si="14"/>
        <v>122.61096448309186</v>
      </c>
      <c r="Y54" s="94">
        <f t="shared" si="15"/>
        <v>119.8623305024155</v>
      </c>
      <c r="Z54" s="93">
        <f t="shared" si="16"/>
        <v>543.7050416193066</v>
      </c>
      <c r="AA54" s="92">
        <f t="shared" si="17"/>
        <v>0</v>
      </c>
      <c r="AB54" s="91">
        <f t="shared" si="18"/>
        <v>264730.46136375022</v>
      </c>
      <c r="AC54" s="91">
        <f t="shared" si="19"/>
        <v>3736.6103080310572</v>
      </c>
      <c r="AD54" s="90">
        <v>49.014572898480232</v>
      </c>
      <c r="AE54" s="61"/>
      <c r="AF54" s="61"/>
      <c r="AH54" s="99"/>
      <c r="AI54" s="99"/>
    </row>
    <row r="55" spans="1:35" s="89" customFormat="1" ht="15" hidden="1" customHeight="1" x14ac:dyDescent="0.25">
      <c r="A55" s="68" t="s">
        <v>343</v>
      </c>
      <c r="B55" s="97">
        <v>3</v>
      </c>
      <c r="C55" s="98">
        <v>8.6</v>
      </c>
      <c r="D55" s="91">
        <v>31.997083838383841</v>
      </c>
      <c r="E55" s="91">
        <v>37.208422020202015</v>
      </c>
      <c r="F55" s="91">
        <v>35.047172525252513</v>
      </c>
      <c r="G55" s="91">
        <v>31.954384848484839</v>
      </c>
      <c r="H55" s="91">
        <v>118.78408565656567</v>
      </c>
      <c r="I55" s="91">
        <v>118.76210060606047</v>
      </c>
      <c r="J55" s="91">
        <v>29.963204242424254</v>
      </c>
      <c r="K55" s="91">
        <v>71.772227878787902</v>
      </c>
      <c r="L55" s="91">
        <v>3.0144236363636545</v>
      </c>
      <c r="M55" s="91">
        <v>2.9986193939393933</v>
      </c>
      <c r="N55" s="91">
        <v>7.1572254545454514</v>
      </c>
      <c r="O55" s="96">
        <v>24.07751616161617</v>
      </c>
      <c r="P55" s="96">
        <v>118.99853050505</v>
      </c>
      <c r="Q55" s="96"/>
      <c r="R55" s="96">
        <v>43.334013737373716</v>
      </c>
      <c r="S55" s="96">
        <v>3.0626262626262614E-4</v>
      </c>
      <c r="T55" s="96">
        <f t="shared" si="10"/>
        <v>2.1985050505193726E-2</v>
      </c>
      <c r="U55" s="93">
        <f t="shared" si="11"/>
        <v>5.2113381818181743</v>
      </c>
      <c r="V55" s="93">
        <f t="shared" si="12"/>
        <v>57.553120808080806</v>
      </c>
      <c r="W55" s="95">
        <f t="shared" si="13"/>
        <v>2462.328942734161</v>
      </c>
      <c r="X55" s="94">
        <f t="shared" si="14"/>
        <v>118.77309313131306</v>
      </c>
      <c r="Y55" s="94">
        <f t="shared" si="15"/>
        <v>118.76210060606047</v>
      </c>
      <c r="Z55" s="93">
        <f t="shared" si="16"/>
        <v>224000.29894441721</v>
      </c>
      <c r="AA55" s="92">
        <f t="shared" si="17"/>
        <v>0.60377133353806578</v>
      </c>
      <c r="AB55" s="91">
        <f t="shared" si="18"/>
        <v>436183.98414147989</v>
      </c>
      <c r="AC55" s="91">
        <f t="shared" si="19"/>
        <v>6186.5212722312672</v>
      </c>
      <c r="AD55" s="90">
        <v>48.256566890476371</v>
      </c>
      <c r="AE55" s="61"/>
      <c r="AF55" s="61"/>
      <c r="AH55" s="99"/>
      <c r="AI55" s="99"/>
    </row>
    <row r="56" spans="1:35" s="89" customFormat="1" ht="15" hidden="1" customHeight="1" x14ac:dyDescent="0.25">
      <c r="A56" s="68" t="s">
        <v>342</v>
      </c>
      <c r="B56" s="97">
        <v>6</v>
      </c>
      <c r="C56" s="98">
        <v>17.100000000000001</v>
      </c>
      <c r="D56" s="91">
        <v>30.219055489964642</v>
      </c>
      <c r="E56" s="91">
        <v>34.450354191263251</v>
      </c>
      <c r="F56" s="91">
        <v>32.427142857142869</v>
      </c>
      <c r="G56" s="91">
        <v>30.083400236127353</v>
      </c>
      <c r="H56" s="91">
        <v>117.1012278630465</v>
      </c>
      <c r="I56" s="91">
        <v>117.16837072018896</v>
      </c>
      <c r="J56" s="91">
        <v>43.608382526564483</v>
      </c>
      <c r="K56" s="91">
        <v>70.311723730814663</v>
      </c>
      <c r="L56" s="91">
        <v>3.0699881936245754</v>
      </c>
      <c r="M56" s="91">
        <v>3.0500000000000123</v>
      </c>
      <c r="N56" s="91">
        <v>7.2490672963400247</v>
      </c>
      <c r="O56" s="96">
        <v>21.662125147579754</v>
      </c>
      <c r="P56" s="96"/>
      <c r="Q56" s="96"/>
      <c r="R56" s="96">
        <v>35.636162927981104</v>
      </c>
      <c r="S56" s="96">
        <v>-1.1806375442739079E-5</v>
      </c>
      <c r="T56" s="96">
        <f t="shared" si="10"/>
        <v>-6.7142857142457046E-2</v>
      </c>
      <c r="U56" s="93">
        <f t="shared" si="11"/>
        <v>4.2312987012986092</v>
      </c>
      <c r="V56" s="93">
        <f t="shared" si="12"/>
        <v>52.973943329397883</v>
      </c>
      <c r="W56" s="95">
        <f t="shared" si="13"/>
        <v>2266.4153053611853</v>
      </c>
      <c r="X56" s="94">
        <f t="shared" si="14"/>
        <v>117.13479929161772</v>
      </c>
      <c r="Y56" s="94">
        <f t="shared" si="15"/>
        <v>117.16837072018896</v>
      </c>
      <c r="Z56" s="93">
        <f t="shared" si="16"/>
        <v>-67510.243138806283</v>
      </c>
      <c r="AA56" s="92">
        <f t="shared" si="17"/>
        <v>0.50683102386186096</v>
      </c>
      <c r="AB56" s="91">
        <f t="shared" si="18"/>
        <v>401479.28266398131</v>
      </c>
      <c r="AC56" s="91">
        <f t="shared" si="19"/>
        <v>5463.4713495373044</v>
      </c>
      <c r="AD56" s="90">
        <v>43.68408628297265</v>
      </c>
      <c r="AE56" s="61"/>
      <c r="AF56" s="61"/>
      <c r="AI56" s="99"/>
    </row>
    <row r="57" spans="1:35" s="89" customFormat="1" ht="15" hidden="1" customHeight="1" x14ac:dyDescent="0.25">
      <c r="A57" s="68" t="s">
        <v>341</v>
      </c>
      <c r="B57" s="97">
        <v>6</v>
      </c>
      <c r="C57" s="98">
        <v>17.100000000000001</v>
      </c>
      <c r="D57" s="91">
        <v>37.802744186046468</v>
      </c>
      <c r="E57" s="91">
        <v>51.607976744186089</v>
      </c>
      <c r="F57" s="91">
        <v>46.892709302325493</v>
      </c>
      <c r="G57" s="91">
        <v>41.324837209302473</v>
      </c>
      <c r="H57" s="91">
        <v>142.09959302325586</v>
      </c>
      <c r="I57" s="91">
        <v>142.77551162790698</v>
      </c>
      <c r="J57" s="91">
        <v>52.760546511627865</v>
      </c>
      <c r="K57" s="91">
        <v>155.45572093023227</v>
      </c>
      <c r="L57" s="91">
        <v>3.4304883720930066</v>
      </c>
      <c r="M57" s="91">
        <v>3.4119999999999799</v>
      </c>
      <c r="N57" s="91">
        <v>6.9944418604650291</v>
      </c>
      <c r="O57" s="96">
        <v>21.924837209302289</v>
      </c>
      <c r="P57" s="96"/>
      <c r="Q57" s="96"/>
      <c r="R57" s="96">
        <v>112.18203488372099</v>
      </c>
      <c r="S57" s="96">
        <v>-4.0581395348836856E-3</v>
      </c>
      <c r="T57" s="96">
        <f t="shared" si="10"/>
        <v>-0.67591860465111608</v>
      </c>
      <c r="U57" s="93">
        <f t="shared" si="11"/>
        <v>13.805232558139622</v>
      </c>
      <c r="V57" s="93">
        <f t="shared" si="12"/>
        <v>133.81887790697664</v>
      </c>
      <c r="W57" s="95">
        <f t="shared" si="13"/>
        <v>5725.2515854586445</v>
      </c>
      <c r="X57" s="94">
        <f t="shared" si="14"/>
        <v>142.43755232558141</v>
      </c>
      <c r="Y57" s="94">
        <f t="shared" si="15"/>
        <v>142.77551162790698</v>
      </c>
      <c r="Z57" s="93">
        <f t="shared" si="16"/>
        <v>-16940.653936914681</v>
      </c>
      <c r="AA57" s="92">
        <f t="shared" si="17"/>
        <v>0.72163336423024083</v>
      </c>
      <c r="AB57" s="91">
        <f t="shared" si="18"/>
        <v>1014187.4237098169</v>
      </c>
      <c r="AC57" s="91">
        <f t="shared" si="19"/>
        <v>15601.858022703942</v>
      </c>
      <c r="AD57" s="90">
        <v>77.771239557621271</v>
      </c>
      <c r="AE57" s="85"/>
      <c r="AF57" s="61"/>
      <c r="AI57" s="99"/>
    </row>
    <row r="58" spans="1:35" s="89" customFormat="1" ht="15" hidden="1" customHeight="1" x14ac:dyDescent="0.25">
      <c r="A58" s="68" t="s">
        <v>340</v>
      </c>
      <c r="B58" s="97">
        <v>6</v>
      </c>
      <c r="C58" s="98">
        <v>17.100000000000001</v>
      </c>
      <c r="D58" s="91">
        <v>38.872059219381036</v>
      </c>
      <c r="E58" s="91">
        <v>52.604104979811673</v>
      </c>
      <c r="F58" s="91">
        <v>47.84965006729481</v>
      </c>
      <c r="G58" s="91">
        <v>42.419973082099673</v>
      </c>
      <c r="H58" s="91">
        <v>144.26920592193792</v>
      </c>
      <c r="I58" s="91">
        <v>144.71096904441464</v>
      </c>
      <c r="J58" s="91">
        <v>42.985504710632561</v>
      </c>
      <c r="K58" s="91">
        <v>155.38149394347212</v>
      </c>
      <c r="L58" s="91">
        <v>3.4573216689098225</v>
      </c>
      <c r="M58" s="91">
        <v>3.4407402422611431</v>
      </c>
      <c r="N58" s="91">
        <v>6.9932301480483643</v>
      </c>
      <c r="O58" s="96">
        <v>22.509542395693224</v>
      </c>
      <c r="P58" s="96"/>
      <c r="Q58" s="96"/>
      <c r="R58" s="96">
        <v>111.57694481830416</v>
      </c>
      <c r="S58" s="96">
        <v>-3.9030955585464093E-3</v>
      </c>
      <c r="T58" s="96">
        <f t="shared" si="10"/>
        <v>-0.4417631224767149</v>
      </c>
      <c r="U58" s="93">
        <f t="shared" si="11"/>
        <v>13.732045760430637</v>
      </c>
      <c r="V58" s="93">
        <f t="shared" si="12"/>
        <v>133.47921938088814</v>
      </c>
      <c r="W58" s="95">
        <f t="shared" si="13"/>
        <v>5710.7197754074905</v>
      </c>
      <c r="X58" s="94">
        <f t="shared" si="14"/>
        <v>144.4900874831763</v>
      </c>
      <c r="Y58" s="94">
        <f t="shared" si="15"/>
        <v>144.71096904441464</v>
      </c>
      <c r="Z58" s="93">
        <f t="shared" si="16"/>
        <v>-25854.216818240038</v>
      </c>
      <c r="AA58" s="92">
        <f t="shared" si="17"/>
        <v>0.71808387206584534</v>
      </c>
      <c r="AB58" s="91">
        <f t="shared" si="18"/>
        <v>1011613.2173578982</v>
      </c>
      <c r="AC58" s="91">
        <f t="shared" si="19"/>
        <v>15282.066208775403</v>
      </c>
      <c r="AD58" s="90">
        <v>78.514866793725474</v>
      </c>
      <c r="AE58" s="61"/>
      <c r="AF58" s="61"/>
    </row>
    <row r="59" spans="1:35" s="89" customFormat="1" ht="15" hidden="1" customHeight="1" x14ac:dyDescent="0.25">
      <c r="A59" s="68" t="s">
        <v>339</v>
      </c>
      <c r="B59" s="97">
        <v>6</v>
      </c>
      <c r="C59" s="98">
        <v>17.100000000000001</v>
      </c>
      <c r="D59" s="91">
        <v>36.883765388213241</v>
      </c>
      <c r="E59" s="91">
        <v>31.907797100093546</v>
      </c>
      <c r="F59" s="91">
        <v>34.617493545369484</v>
      </c>
      <c r="G59" s="91">
        <v>31.60465837231056</v>
      </c>
      <c r="H59" s="91">
        <v>122.78739859681954</v>
      </c>
      <c r="I59" s="91">
        <v>122.03487960710939</v>
      </c>
      <c r="J59" s="91">
        <v>33.179809448082324</v>
      </c>
      <c r="K59" s="91">
        <v>68.895361365762426</v>
      </c>
      <c r="L59" s="91">
        <v>3.0091709073900863</v>
      </c>
      <c r="M59" s="91">
        <v>2.995008980355462</v>
      </c>
      <c r="N59" s="91">
        <v>7.1768454630495722</v>
      </c>
      <c r="O59" s="96">
        <v>22.716274181477999</v>
      </c>
      <c r="P59" s="96">
        <v>122.52582703461175</v>
      </c>
      <c r="Q59" s="96">
        <v>47.909090458372361</v>
      </c>
      <c r="R59" s="96">
        <v>-41.488005986903687</v>
      </c>
      <c r="S59" s="96">
        <v>1.092488306828812E-2</v>
      </c>
      <c r="T59" s="96">
        <f t="shared" si="10"/>
        <v>0.75251898971015407</v>
      </c>
      <c r="U59" s="93">
        <f t="shared" si="11"/>
        <v>-4.9759682881196952</v>
      </c>
      <c r="V59" s="93">
        <f t="shared" si="12"/>
        <v>13.703677689429369</v>
      </c>
      <c r="W59" s="95">
        <f t="shared" si="13"/>
        <v>586.29248462656108</v>
      </c>
      <c r="X59" s="94">
        <f t="shared" si="14"/>
        <v>122.41113910196447</v>
      </c>
      <c r="Y59" s="94">
        <f t="shared" si="15"/>
        <v>122.03487960710939</v>
      </c>
      <c r="Z59" s="93">
        <f t="shared" si="16"/>
        <v>1558.2131285547543</v>
      </c>
      <c r="AA59" s="92">
        <f t="shared" si="17"/>
        <v>-0.6021886693742079</v>
      </c>
      <c r="AB59" s="91">
        <f t="shared" si="18"/>
        <v>103857.52584813366</v>
      </c>
      <c r="AC59" s="91">
        <f t="shared" si="19"/>
        <v>1023.1580445226074</v>
      </c>
      <c r="AD59" s="90">
        <v>20.528053360542298</v>
      </c>
      <c r="AE59" s="61"/>
      <c r="AF59" s="61"/>
    </row>
    <row r="60" spans="1:35" s="89" customFormat="1" ht="15" hidden="1" customHeight="1" x14ac:dyDescent="0.25">
      <c r="A60" s="68" t="s">
        <v>338</v>
      </c>
      <c r="B60" s="97">
        <v>8</v>
      </c>
      <c r="C60" s="98">
        <v>22.8</v>
      </c>
      <c r="D60" s="91">
        <v>30.217212336891961</v>
      </c>
      <c r="E60" s="91">
        <v>34.712455516014252</v>
      </c>
      <c r="F60" s="91">
        <v>32.763238434163746</v>
      </c>
      <c r="G60" s="91">
        <v>30.00873072360606</v>
      </c>
      <c r="H60" s="91">
        <v>116.65236061684497</v>
      </c>
      <c r="I60" s="91">
        <v>114.93004744958485</v>
      </c>
      <c r="J60" s="91">
        <v>42.928623962040355</v>
      </c>
      <c r="K60" s="91">
        <v>71.907485172004755</v>
      </c>
      <c r="L60" s="91">
        <v>2.8830486358244958</v>
      </c>
      <c r="M60" s="91">
        <v>2.8632858837484969</v>
      </c>
      <c r="N60" s="91">
        <v>7.2728825622775668</v>
      </c>
      <c r="O60" s="96">
        <v>20.710711743772183</v>
      </c>
      <c r="P60" s="97"/>
      <c r="Q60" s="97"/>
      <c r="R60" s="96">
        <v>37.992028469750842</v>
      </c>
      <c r="S60" s="96">
        <v>2.395017793594284E-2</v>
      </c>
      <c r="T60" s="96">
        <f t="shared" si="10"/>
        <v>1.7223131672601255</v>
      </c>
      <c r="U60" s="93">
        <f t="shared" si="11"/>
        <v>4.4952431791222907</v>
      </c>
      <c r="V60" s="93">
        <f t="shared" si="12"/>
        <v>54.949756820877795</v>
      </c>
      <c r="W60" s="95">
        <f t="shared" si="13"/>
        <v>2350.9476934785735</v>
      </c>
      <c r="X60" s="94">
        <f t="shared" si="14"/>
        <v>115.79120403321491</v>
      </c>
      <c r="Y60" s="94">
        <f t="shared" si="15"/>
        <v>114.93004744958485</v>
      </c>
      <c r="Z60" s="93">
        <f t="shared" si="16"/>
        <v>2729.9886433760321</v>
      </c>
      <c r="AA60" s="92">
        <f t="shared" si="17"/>
        <v>0.52834594867102957</v>
      </c>
      <c r="AB60" s="91">
        <f t="shared" si="18"/>
        <v>416453.59141620441</v>
      </c>
      <c r="AC60" s="91">
        <f t="shared" si="19"/>
        <v>5914.7451095036904</v>
      </c>
      <c r="AD60" s="90">
        <v>44.520658083497821</v>
      </c>
      <c r="AE60" s="61"/>
      <c r="AF60" s="61"/>
    </row>
    <row r="61" spans="1:35" s="89" customFormat="1" ht="15" hidden="1" customHeight="1" x14ac:dyDescent="0.25">
      <c r="A61" s="68" t="s">
        <v>337</v>
      </c>
      <c r="B61" s="97">
        <v>8</v>
      </c>
      <c r="C61" s="98">
        <v>22.8</v>
      </c>
      <c r="D61" s="91">
        <v>20.190898437500223</v>
      </c>
      <c r="E61" s="91">
        <v>19.513890625000137</v>
      </c>
      <c r="F61" s="91">
        <v>18.822257812500027</v>
      </c>
      <c r="G61" s="91">
        <v>18.852984375000098</v>
      </c>
      <c r="H61" s="91">
        <v>188.8792421875001</v>
      </c>
      <c r="I61" s="91">
        <v>201.4242265625</v>
      </c>
      <c r="J61" s="91">
        <v>56.538484374999882</v>
      </c>
      <c r="K61" s="91">
        <v>72.877968750000107</v>
      </c>
      <c r="L61" s="91">
        <v>0.89999999999999591</v>
      </c>
      <c r="M61" s="91">
        <v>0.88999999999999946</v>
      </c>
      <c r="N61" s="91">
        <v>0</v>
      </c>
      <c r="O61" s="96">
        <v>19.880843750000032</v>
      </c>
      <c r="P61" s="97"/>
      <c r="Q61" s="97"/>
      <c r="R61" s="96">
        <v>0</v>
      </c>
      <c r="S61" s="96">
        <v>-0.17008593749999576</v>
      </c>
      <c r="T61" s="96">
        <f t="shared" si="10"/>
        <v>-12.544984374999899</v>
      </c>
      <c r="U61" s="93">
        <f t="shared" si="11"/>
        <v>-0.67700781250008646</v>
      </c>
      <c r="V61" s="93">
        <f t="shared" si="12"/>
        <v>36.438984375000054</v>
      </c>
      <c r="W61" s="95">
        <f t="shared" si="13"/>
        <v>1558.9904528305369</v>
      </c>
      <c r="X61" s="94">
        <f t="shared" si="14"/>
        <v>195.15173437500005</v>
      </c>
      <c r="Y61" s="94">
        <f t="shared" si="15"/>
        <v>201.4242265625</v>
      </c>
      <c r="Z61" s="93">
        <f t="shared" si="16"/>
        <v>-248.5440246441996</v>
      </c>
      <c r="AA61" s="92">
        <f t="shared" si="17"/>
        <v>0</v>
      </c>
      <c r="AB61" s="91">
        <f t="shared" si="18"/>
        <v>276164.02307283791</v>
      </c>
      <c r="AC61" s="91">
        <f t="shared" si="19"/>
        <v>1523.8037392458123</v>
      </c>
      <c r="AD61" s="90">
        <v>20.190898437500223</v>
      </c>
      <c r="AE61" s="61"/>
      <c r="AF61" s="61"/>
    </row>
    <row r="62" spans="1:35" s="89" customFormat="1" ht="15" hidden="1" customHeight="1" x14ac:dyDescent="0.25">
      <c r="A62" s="68" t="s">
        <v>336</v>
      </c>
      <c r="B62" s="97">
        <v>8</v>
      </c>
      <c r="C62" s="98">
        <v>22.8</v>
      </c>
      <c r="D62" s="91">
        <v>36.174928909952754</v>
      </c>
      <c r="E62" s="91">
        <v>49.711812796208612</v>
      </c>
      <c r="F62" s="91">
        <v>45.17733412322287</v>
      </c>
      <c r="G62" s="91">
        <v>39.154917061611265</v>
      </c>
      <c r="H62" s="91">
        <v>139.17281990521326</v>
      </c>
      <c r="I62" s="91">
        <v>138.40098341232229</v>
      </c>
      <c r="J62" s="91">
        <v>50.903092417061522</v>
      </c>
      <c r="K62" s="91">
        <v>152.28207345971552</v>
      </c>
      <c r="L62" s="91">
        <v>3.3436611374407592</v>
      </c>
      <c r="M62" s="91">
        <v>3.329988151658728</v>
      </c>
      <c r="N62" s="91">
        <v>7.0306635071089891</v>
      </c>
      <c r="O62" s="96">
        <v>20.969395734596979</v>
      </c>
      <c r="P62" s="97"/>
      <c r="Q62" s="97"/>
      <c r="R62" s="96">
        <v>110.57355450236956</v>
      </c>
      <c r="S62" s="96">
        <v>5.4739336492890351E-3</v>
      </c>
      <c r="T62" s="96">
        <f t="shared" si="10"/>
        <v>0.77183649289096934</v>
      </c>
      <c r="U62" s="93">
        <f t="shared" si="11"/>
        <v>13.536883886255858</v>
      </c>
      <c r="V62" s="93">
        <f t="shared" si="12"/>
        <v>131.42781398104253</v>
      </c>
      <c r="W62" s="95">
        <f t="shared" si="13"/>
        <v>5622.9532943131808</v>
      </c>
      <c r="X62" s="94">
        <f t="shared" si="14"/>
        <v>138.78690165876776</v>
      </c>
      <c r="Y62" s="94">
        <f t="shared" si="15"/>
        <v>138.40098341232229</v>
      </c>
      <c r="Z62" s="93">
        <f t="shared" si="16"/>
        <v>14570.322461049256</v>
      </c>
      <c r="AA62" s="92">
        <f t="shared" si="17"/>
        <v>0.72611011913769696</v>
      </c>
      <c r="AB62" s="91">
        <f t="shared" si="18"/>
        <v>996066.0121354775</v>
      </c>
      <c r="AC62" s="91">
        <f t="shared" si="19"/>
        <v>15885.511466796932</v>
      </c>
      <c r="AD62" s="90">
        <v>75.698185695207371</v>
      </c>
      <c r="AE62" s="61"/>
      <c r="AF62" s="61"/>
    </row>
    <row r="63" spans="1:35" s="89" customFormat="1" ht="15" hidden="1" customHeight="1" x14ac:dyDescent="0.25">
      <c r="A63" s="68" t="s">
        <v>335</v>
      </c>
      <c r="B63" s="97">
        <v>10</v>
      </c>
      <c r="C63" s="98">
        <v>28.5</v>
      </c>
      <c r="D63" s="91">
        <v>27.427403314917186</v>
      </c>
      <c r="E63" s="91">
        <v>32.880027624309427</v>
      </c>
      <c r="F63" s="91">
        <v>30.684157458563565</v>
      </c>
      <c r="G63" s="91">
        <v>27.812458563535756</v>
      </c>
      <c r="H63" s="91">
        <v>91.80249999999991</v>
      </c>
      <c r="I63" s="91">
        <v>85.169419889502706</v>
      </c>
      <c r="J63" s="91">
        <v>31.77718232044209</v>
      </c>
      <c r="K63" s="91">
        <v>72.024488950276279</v>
      </c>
      <c r="L63" s="91">
        <v>3.0199999999999849</v>
      </c>
      <c r="M63" s="91">
        <v>3.0003038674033204</v>
      </c>
      <c r="N63" s="91">
        <v>7.0533287292818558</v>
      </c>
      <c r="O63" s="96">
        <v>18.628812154696011</v>
      </c>
      <c r="P63" s="97"/>
      <c r="Q63" s="97"/>
      <c r="R63" s="96">
        <v>44.690207182320414</v>
      </c>
      <c r="S63" s="96">
        <v>9.2154696132597511E-2</v>
      </c>
      <c r="T63" s="96">
        <f t="shared" si="10"/>
        <v>6.6330801104972039</v>
      </c>
      <c r="U63" s="93">
        <f t="shared" si="11"/>
        <v>5.4526243093922417</v>
      </c>
      <c r="V63" s="93">
        <f t="shared" si="12"/>
        <v>58.357348066298343</v>
      </c>
      <c r="W63" s="95">
        <f t="shared" si="13"/>
        <v>2496.7366694853877</v>
      </c>
      <c r="X63" s="94">
        <f t="shared" si="14"/>
        <v>88.485959944751301</v>
      </c>
      <c r="Y63" s="94">
        <f t="shared" si="15"/>
        <v>85.169419889502706</v>
      </c>
      <c r="Z63" s="93">
        <f t="shared" si="16"/>
        <v>752.81366360529057</v>
      </c>
      <c r="AA63" s="92">
        <f t="shared" si="17"/>
        <v>0.62048627950936663</v>
      </c>
      <c r="AB63" s="91">
        <f t="shared" si="18"/>
        <v>442279.06716598285</v>
      </c>
      <c r="AC63" s="91">
        <f t="shared" si="19"/>
        <v>10904.633049834969</v>
      </c>
      <c r="AD63" s="90">
        <v>44.610598226753005</v>
      </c>
      <c r="AE63" s="61"/>
      <c r="AF63" s="61"/>
    </row>
    <row r="64" spans="1:35" s="89" customFormat="1" ht="15" hidden="1" customHeight="1" x14ac:dyDescent="0.25">
      <c r="A64" s="68" t="s">
        <v>334</v>
      </c>
      <c r="B64" s="97">
        <v>10</v>
      </c>
      <c r="C64" s="98">
        <v>28.5</v>
      </c>
      <c r="D64" s="91">
        <v>33.919951124144475</v>
      </c>
      <c r="E64" s="91">
        <v>47.701114369501468</v>
      </c>
      <c r="F64" s="91">
        <v>43.122531769305844</v>
      </c>
      <c r="G64" s="91">
        <v>37.188211143694858</v>
      </c>
      <c r="H64" s="91">
        <v>132.03227761485797</v>
      </c>
      <c r="I64" s="91">
        <v>128.88440860215053</v>
      </c>
      <c r="J64" s="91">
        <v>41.106246334310661</v>
      </c>
      <c r="K64" s="91">
        <v>152.32013685239471</v>
      </c>
      <c r="L64" s="91">
        <v>3.4099999999999606</v>
      </c>
      <c r="M64" s="91">
        <v>3.3900195503421049</v>
      </c>
      <c r="N64" s="91">
        <v>7.0418768328445589</v>
      </c>
      <c r="O64" s="96">
        <v>18.519286412512205</v>
      </c>
      <c r="P64" s="97"/>
      <c r="Q64" s="97"/>
      <c r="R64" s="96">
        <v>112.76778103616799</v>
      </c>
      <c r="S64" s="96">
        <v>1.9814271749755329E-2</v>
      </c>
      <c r="T64" s="96">
        <f t="shared" si="10"/>
        <v>3.1478690127074458</v>
      </c>
      <c r="U64" s="93">
        <f t="shared" si="11"/>
        <v>13.781163245356993</v>
      </c>
      <c r="V64" s="93">
        <f t="shared" si="12"/>
        <v>132.54395894428134</v>
      </c>
      <c r="W64" s="95">
        <f t="shared" si="13"/>
        <v>5670.7059792880673</v>
      </c>
      <c r="X64" s="94">
        <f t="shared" si="14"/>
        <v>130.45834310850427</v>
      </c>
      <c r="Y64" s="94">
        <f t="shared" si="15"/>
        <v>128.88440860215053</v>
      </c>
      <c r="Z64" s="93">
        <f t="shared" si="16"/>
        <v>3602.8856069908115</v>
      </c>
      <c r="AA64" s="92">
        <f t="shared" si="17"/>
        <v>0.74033403177312795</v>
      </c>
      <c r="AB64" s="91">
        <f t="shared" si="18"/>
        <v>1004525.0591881718</v>
      </c>
      <c r="AC64" s="91">
        <f t="shared" si="19"/>
        <v>18443.413718291275</v>
      </c>
      <c r="AD64" s="90">
        <v>74.41916293063295</v>
      </c>
      <c r="AE64" s="61"/>
      <c r="AF64" s="61"/>
    </row>
    <row r="65" spans="1:34" s="89" customFormat="1" ht="15" hidden="1" customHeight="1" x14ac:dyDescent="0.25">
      <c r="A65" s="68" t="s">
        <v>333</v>
      </c>
      <c r="B65" s="97">
        <v>10</v>
      </c>
      <c r="C65" s="98">
        <v>28.5</v>
      </c>
      <c r="D65" s="91">
        <v>28.837142857142855</v>
      </c>
      <c r="E65" s="91">
        <v>33.82</v>
      </c>
      <c r="F65" s="91">
        <v>31.661904761904761</v>
      </c>
      <c r="G65" s="91">
        <v>28.676190476190474</v>
      </c>
      <c r="H65" s="91">
        <v>92.030476190476179</v>
      </c>
      <c r="I65" s="91">
        <v>83.476190476190467</v>
      </c>
      <c r="J65" s="91">
        <v>31.818095238095225</v>
      </c>
      <c r="K65" s="91">
        <v>67.482857142857156</v>
      </c>
      <c r="L65" s="91">
        <v>3.2000000000000006</v>
      </c>
      <c r="M65" s="91">
        <v>3.18</v>
      </c>
      <c r="N65" s="91">
        <v>7.1699999999999982</v>
      </c>
      <c r="O65" s="96">
        <v>18.971428571428579</v>
      </c>
      <c r="P65" s="97"/>
      <c r="Q65" s="97"/>
      <c r="R65" s="96">
        <v>41.512380952380958</v>
      </c>
      <c r="S65" s="96">
        <v>0.12714285714285717</v>
      </c>
      <c r="T65" s="96">
        <f t="shared" si="10"/>
        <v>8.5542857142857116</v>
      </c>
      <c r="U65" s="93">
        <f t="shared" si="11"/>
        <v>4.9828571428571458</v>
      </c>
      <c r="V65" s="93">
        <f t="shared" si="12"/>
        <v>54.497619047619054</v>
      </c>
      <c r="W65" s="95">
        <f t="shared" si="13"/>
        <v>2331.6036177869896</v>
      </c>
      <c r="X65" s="94">
        <f t="shared" si="14"/>
        <v>87.75333333333333</v>
      </c>
      <c r="Y65" s="94">
        <f t="shared" si="15"/>
        <v>83.476190476190467</v>
      </c>
      <c r="Z65" s="93">
        <f t="shared" si="16"/>
        <v>545.13110636302292</v>
      </c>
      <c r="AA65" s="92">
        <f t="shared" si="17"/>
        <v>0.6151544660372299</v>
      </c>
      <c r="AB65" s="91">
        <f t="shared" si="18"/>
        <v>413026.92657940957</v>
      </c>
      <c r="AC65" s="91">
        <f t="shared" si="19"/>
        <v>10630.021716181247</v>
      </c>
      <c r="AD65" s="90">
        <v>44.621431981135736</v>
      </c>
      <c r="AE65" s="61"/>
      <c r="AF65" s="61"/>
    </row>
    <row r="66" spans="1:34" s="89" customFormat="1" ht="15" hidden="1" customHeight="1" x14ac:dyDescent="0.25">
      <c r="A66" s="68" t="s">
        <v>332</v>
      </c>
      <c r="B66" s="97">
        <v>10</v>
      </c>
      <c r="C66" s="98">
        <v>28.5</v>
      </c>
      <c r="D66" s="91">
        <v>34.91463985032707</v>
      </c>
      <c r="E66" s="91">
        <v>48.693797942001929</v>
      </c>
      <c r="F66" s="91">
        <v>44.09176800748368</v>
      </c>
      <c r="G66" s="91">
        <v>38.00089803554711</v>
      </c>
      <c r="H66" s="91">
        <v>133.87414405986908</v>
      </c>
      <c r="I66" s="91">
        <v>130.72120673526686</v>
      </c>
      <c r="J66" s="91">
        <v>41.831543498596702</v>
      </c>
      <c r="K66" s="91">
        <v>152.18219831618353</v>
      </c>
      <c r="L66" s="91">
        <v>3.3989803554724447</v>
      </c>
      <c r="M66" s="91">
        <v>3.3800000000000767</v>
      </c>
      <c r="N66" s="91">
        <v>7.0501964452760841</v>
      </c>
      <c r="O66" s="96">
        <v>19.290374181478079</v>
      </c>
      <c r="P66" s="97"/>
      <c r="Q66" s="97"/>
      <c r="R66" s="96">
        <v>112.8703928905518</v>
      </c>
      <c r="S66" s="96">
        <v>2.0430308699719128E-2</v>
      </c>
      <c r="T66" s="96">
        <f t="shared" si="10"/>
        <v>3.1529373246022203</v>
      </c>
      <c r="U66" s="93">
        <f t="shared" si="11"/>
        <v>13.779158091674859</v>
      </c>
      <c r="V66" s="93">
        <f t="shared" si="12"/>
        <v>132.52629560336766</v>
      </c>
      <c r="W66" s="95">
        <f t="shared" si="13"/>
        <v>5669.950278207978</v>
      </c>
      <c r="X66" s="94">
        <f t="shared" si="14"/>
        <v>132.29767539756796</v>
      </c>
      <c r="Y66" s="94">
        <f t="shared" si="15"/>
        <v>130.72120673526686</v>
      </c>
      <c r="Z66" s="93">
        <f t="shared" si="16"/>
        <v>3596.6146449951138</v>
      </c>
      <c r="AA66" s="92">
        <f t="shared" si="17"/>
        <v>0.74167934317813577</v>
      </c>
      <c r="AB66" s="91">
        <f t="shared" si="18"/>
        <v>1004391.1921396989</v>
      </c>
      <c r="AC66" s="91">
        <f t="shared" si="19"/>
        <v>18125.482609230232</v>
      </c>
      <c r="AD66" s="90">
        <v>75.307995744226986</v>
      </c>
      <c r="AE66" s="61"/>
      <c r="AF66" s="61"/>
    </row>
    <row r="67" spans="1:34" s="89" customFormat="1" ht="15" hidden="1" customHeight="1" x14ac:dyDescent="0.25">
      <c r="A67" s="68" t="s">
        <v>331</v>
      </c>
      <c r="B67" s="97">
        <v>10</v>
      </c>
      <c r="C67" s="98">
        <v>28.5</v>
      </c>
      <c r="D67" s="91">
        <v>19.478981762917673</v>
      </c>
      <c r="E67" s="91">
        <v>19.054924012158072</v>
      </c>
      <c r="F67" s="91">
        <v>18.131185410334187</v>
      </c>
      <c r="G67" s="91">
        <v>18.170000000000066</v>
      </c>
      <c r="H67" s="91">
        <v>187.22188449848051</v>
      </c>
      <c r="I67" s="91">
        <v>191.40455927051707</v>
      </c>
      <c r="J67" s="91">
        <v>52.55290273556227</v>
      </c>
      <c r="K67" s="91">
        <v>69.039559270516719</v>
      </c>
      <c r="L67" s="91">
        <v>0.89999999999998881</v>
      </c>
      <c r="M67" s="91">
        <v>0.88999999999998947</v>
      </c>
      <c r="N67" s="91">
        <v>0</v>
      </c>
      <c r="O67" s="96">
        <v>19.173829787233949</v>
      </c>
      <c r="P67" s="97"/>
      <c r="Q67" s="97"/>
      <c r="R67" s="96">
        <v>0.30509118541033459</v>
      </c>
      <c r="S67" s="96">
        <v>-5.9999999999999977E-2</v>
      </c>
      <c r="T67" s="96">
        <f t="shared" si="10"/>
        <v>-4.1826747720365631</v>
      </c>
      <c r="U67" s="93">
        <f t="shared" si="11"/>
        <v>-0.4240577507596015</v>
      </c>
      <c r="V67" s="93">
        <f t="shared" si="12"/>
        <v>34.672325227963526</v>
      </c>
      <c r="W67" s="95">
        <f t="shared" si="13"/>
        <v>1483.4064377742532</v>
      </c>
      <c r="X67" s="94">
        <f t="shared" si="14"/>
        <v>189.31322188449877</v>
      </c>
      <c r="Y67" s="94">
        <f t="shared" si="15"/>
        <v>191.40455927051707</v>
      </c>
      <c r="Z67" s="93">
        <f t="shared" si="16"/>
        <v>-709.30996007225576</v>
      </c>
      <c r="AA67" s="92">
        <f t="shared" si="17"/>
        <v>4.4190778248583565E-3</v>
      </c>
      <c r="AB67" s="91">
        <f t="shared" si="18"/>
        <v>262774.85469143913</v>
      </c>
      <c r="AC67" s="91">
        <f t="shared" si="19"/>
        <v>1528.4221143873956</v>
      </c>
      <c r="AD67" s="90">
        <v>19.478981762917673</v>
      </c>
      <c r="AE67" s="61"/>
      <c r="AF67" s="61"/>
    </row>
    <row r="68" spans="1:34" s="89" customFormat="1" ht="15" hidden="1" customHeight="1" x14ac:dyDescent="0.25">
      <c r="A68" s="68" t="s">
        <v>330</v>
      </c>
      <c r="B68" s="97">
        <v>15</v>
      </c>
      <c r="C68" s="98">
        <v>42.8</v>
      </c>
      <c r="D68" s="91">
        <v>29.551582054309371</v>
      </c>
      <c r="E68" s="91">
        <v>33.731605667060208</v>
      </c>
      <c r="F68" s="91">
        <v>31.772337662337769</v>
      </c>
      <c r="G68" s="91">
        <v>29.216103896103562</v>
      </c>
      <c r="H68" s="91">
        <v>128.42992916174774</v>
      </c>
      <c r="I68" s="91">
        <v>124.40323494687139</v>
      </c>
      <c r="J68" s="91">
        <v>38.331688311688303</v>
      </c>
      <c r="K68" s="91">
        <v>71.50531286894909</v>
      </c>
      <c r="L68" s="91">
        <v>2.8800000000000612</v>
      </c>
      <c r="M68" s="91">
        <v>2.8599999999999826</v>
      </c>
      <c r="N68" s="91">
        <v>7.2764344746163596</v>
      </c>
      <c r="O68" s="96">
        <v>20.711003541912554</v>
      </c>
      <c r="P68" s="97"/>
      <c r="Q68" s="97"/>
      <c r="R68" s="96">
        <v>35.337355371900827</v>
      </c>
      <c r="S68" s="96">
        <v>5.6587957497048154E-2</v>
      </c>
      <c r="T68" s="96">
        <f t="shared" ref="T68:T73" si="20">H68-I68</f>
        <v>4.0266942148763434</v>
      </c>
      <c r="U68" s="93">
        <f t="shared" ref="U68:U73" si="21">E68-D68</f>
        <v>4.180023612750837</v>
      </c>
      <c r="V68" s="93">
        <f t="shared" ref="V68:V73" si="22">(K68+R68)/2</f>
        <v>53.421334120424959</v>
      </c>
      <c r="W68" s="95">
        <f t="shared" ref="W68:W73" si="23">V68/(PI()*0.006*1.24)</f>
        <v>2285.5562881261721</v>
      </c>
      <c r="X68" s="94">
        <f t="shared" ref="X68:X73" si="24">(I68+H68)/2</f>
        <v>126.41658205430957</v>
      </c>
      <c r="Y68" s="94">
        <f t="shared" ref="Y68:Y73" si="25">I68</f>
        <v>124.40323494687139</v>
      </c>
      <c r="Z68" s="93">
        <f t="shared" ref="Z68:Z73" si="26">W68/(X68-I68)</f>
        <v>1135.2023104621824</v>
      </c>
      <c r="AA68" s="92">
        <f t="shared" ref="AA68:AA73" si="27">R68/K68</f>
        <v>0.49419202509700422</v>
      </c>
      <c r="AB68" s="91">
        <f t="shared" ref="AB68:AB73" si="28">V68/(PI()*0.006*0.007)</f>
        <v>404869.97103949334</v>
      </c>
      <c r="AC68" s="91">
        <f t="shared" ref="AC68:AC73" si="29">AB68/(I68-AD68)</f>
        <v>4968.7751584786183</v>
      </c>
      <c r="AD68" s="90">
        <v>42.920382910664571</v>
      </c>
      <c r="AE68" s="61"/>
      <c r="AF68" s="61"/>
    </row>
    <row r="69" spans="1:34" s="89" customFormat="1" ht="15" hidden="1" customHeight="1" x14ac:dyDescent="0.25">
      <c r="A69" s="68" t="s">
        <v>329</v>
      </c>
      <c r="B69" s="97">
        <v>15</v>
      </c>
      <c r="C69" s="98">
        <v>42.8</v>
      </c>
      <c r="D69" s="91">
        <v>20.726035767511039</v>
      </c>
      <c r="E69" s="91">
        <v>20.116900149031473</v>
      </c>
      <c r="F69" s="91">
        <v>19.181415797317694</v>
      </c>
      <c r="G69" s="91">
        <v>19.200000000000184</v>
      </c>
      <c r="H69" s="91">
        <v>187.3643517138602</v>
      </c>
      <c r="I69" s="91">
        <v>204.78307004470969</v>
      </c>
      <c r="J69" s="91">
        <v>50.369925484351739</v>
      </c>
      <c r="K69" s="91">
        <v>72.191594634873269</v>
      </c>
      <c r="L69" s="91">
        <v>0.89999999999998859</v>
      </c>
      <c r="M69" s="91">
        <v>0.88999999999998936</v>
      </c>
      <c r="N69" s="91">
        <v>0</v>
      </c>
      <c r="O69" s="96">
        <v>20.171385991058102</v>
      </c>
      <c r="P69" s="97"/>
      <c r="Q69" s="97"/>
      <c r="R69" s="96">
        <v>0</v>
      </c>
      <c r="S69" s="96">
        <v>-0.24000000000000007</v>
      </c>
      <c r="T69" s="96">
        <f t="shared" si="20"/>
        <v>-17.418718330849487</v>
      </c>
      <c r="U69" s="93">
        <f t="shared" si="21"/>
        <v>-0.60913561847956643</v>
      </c>
      <c r="V69" s="93">
        <f t="shared" si="22"/>
        <v>36.095797317436634</v>
      </c>
      <c r="W69" s="95">
        <f t="shared" si="23"/>
        <v>1544.3076795465636</v>
      </c>
      <c r="X69" s="94">
        <f t="shared" si="24"/>
        <v>196.07371087928493</v>
      </c>
      <c r="Y69" s="94">
        <f t="shared" si="25"/>
        <v>204.78307004470969</v>
      </c>
      <c r="Z69" s="93">
        <f t="shared" si="26"/>
        <v>-177.3158794136431</v>
      </c>
      <c r="AA69" s="92">
        <f t="shared" si="27"/>
        <v>0</v>
      </c>
      <c r="AB69" s="91">
        <f t="shared" si="28"/>
        <v>273563.07466253405</v>
      </c>
      <c r="AC69" s="91">
        <f t="shared" si="29"/>
        <v>1486.2951352923303</v>
      </c>
      <c r="AD69" s="90">
        <v>20.726035767511039</v>
      </c>
      <c r="AE69" s="61"/>
      <c r="AF69" s="61"/>
    </row>
    <row r="70" spans="1:34" s="89" customFormat="1" ht="15" hidden="1" customHeight="1" x14ac:dyDescent="0.25">
      <c r="A70" s="68" t="s">
        <v>328</v>
      </c>
      <c r="B70" s="97">
        <v>15</v>
      </c>
      <c r="C70" s="98">
        <v>42.8</v>
      </c>
      <c r="D70" s="91">
        <v>35.266213808463107</v>
      </c>
      <c r="E70" s="91">
        <v>47.727494432071303</v>
      </c>
      <c r="F70" s="91">
        <v>43.1280623608017</v>
      </c>
      <c r="G70" s="91">
        <v>37.911102449888681</v>
      </c>
      <c r="H70" s="91">
        <v>168.77492204899696</v>
      </c>
      <c r="I70" s="91">
        <v>167.03800668151473</v>
      </c>
      <c r="J70" s="91">
        <v>47.50129175946546</v>
      </c>
      <c r="K70" s="91">
        <v>153.30671492204888</v>
      </c>
      <c r="L70" s="91">
        <v>3.384743875278446</v>
      </c>
      <c r="M70" s="91">
        <v>3.3641314031180385</v>
      </c>
      <c r="N70" s="91">
        <v>7.0784298440979105</v>
      </c>
      <c r="O70" s="96">
        <v>20.677193763919753</v>
      </c>
      <c r="P70" s="97"/>
      <c r="Q70" s="97"/>
      <c r="R70" s="96">
        <v>102.46074610245002</v>
      </c>
      <c r="S70" s="96">
        <v>1.1269487750556632E-2</v>
      </c>
      <c r="T70" s="96">
        <f t="shared" si="20"/>
        <v>1.7369153674822257</v>
      </c>
      <c r="U70" s="93">
        <f t="shared" si="21"/>
        <v>12.461280623608197</v>
      </c>
      <c r="V70" s="93">
        <f t="shared" si="22"/>
        <v>127.88373051224946</v>
      </c>
      <c r="W70" s="95">
        <f t="shared" si="23"/>
        <v>5471.324691412995</v>
      </c>
      <c r="X70" s="94">
        <f t="shared" si="24"/>
        <v>167.90646436525583</v>
      </c>
      <c r="Y70" s="94">
        <f t="shared" si="25"/>
        <v>167.03800668151473</v>
      </c>
      <c r="Z70" s="93">
        <f t="shared" si="26"/>
        <v>6300.0475369667929</v>
      </c>
      <c r="AA70" s="92">
        <f t="shared" si="27"/>
        <v>0.66833827960208869</v>
      </c>
      <c r="AB70" s="91">
        <f t="shared" si="28"/>
        <v>969206.08819315908</v>
      </c>
      <c r="AC70" s="91">
        <f t="shared" si="29"/>
        <v>10202.997073718339</v>
      </c>
      <c r="AD70" s="90">
        <v>72.045713614047884</v>
      </c>
      <c r="AE70" s="61"/>
      <c r="AF70" s="61"/>
    </row>
    <row r="71" spans="1:34" s="89" customFormat="1" ht="15" hidden="1" customHeight="1" x14ac:dyDescent="0.25">
      <c r="A71" s="68" t="s">
        <v>327</v>
      </c>
      <c r="B71" s="97">
        <v>20</v>
      </c>
      <c r="C71" s="98">
        <v>57</v>
      </c>
      <c r="D71" s="91">
        <v>26.75425774877651</v>
      </c>
      <c r="E71" s="91">
        <v>32.758662316476276</v>
      </c>
      <c r="F71" s="91">
        <v>30.577691680261047</v>
      </c>
      <c r="G71" s="91">
        <v>27.688099510603625</v>
      </c>
      <c r="H71" s="91">
        <v>91.604902120717767</v>
      </c>
      <c r="I71" s="91">
        <v>85.083311582381796</v>
      </c>
      <c r="J71" s="91">
        <v>31.734942903751975</v>
      </c>
      <c r="K71" s="91">
        <v>72.053401305057065</v>
      </c>
      <c r="L71" s="91">
        <v>3.0199999999999836</v>
      </c>
      <c r="M71" s="91">
        <v>3.0001794453507382</v>
      </c>
      <c r="N71" s="91">
        <v>7.0479445350735066</v>
      </c>
      <c r="O71" s="96">
        <v>18.597055464926729</v>
      </c>
      <c r="P71" s="97"/>
      <c r="Q71" s="97"/>
      <c r="R71" s="96">
        <v>49.172414355628149</v>
      </c>
      <c r="S71" s="96">
        <v>9.0522022838499291E-2</v>
      </c>
      <c r="T71" s="96">
        <f t="shared" si="20"/>
        <v>6.5215905383359711</v>
      </c>
      <c r="U71" s="93">
        <f t="shared" si="21"/>
        <v>6.0044045676997655</v>
      </c>
      <c r="V71" s="93">
        <f t="shared" si="22"/>
        <v>60.612907830342607</v>
      </c>
      <c r="W71" s="95">
        <f t="shared" si="23"/>
        <v>2593.2376065517406</v>
      </c>
      <c r="X71" s="94">
        <f t="shared" si="24"/>
        <v>88.344106851549782</v>
      </c>
      <c r="Y71" s="94">
        <f t="shared" si="25"/>
        <v>85.083311582381796</v>
      </c>
      <c r="Z71" s="93">
        <f t="shared" si="26"/>
        <v>795.27765237877782</v>
      </c>
      <c r="AA71" s="92">
        <f t="shared" si="27"/>
        <v>0.68244404101679768</v>
      </c>
      <c r="AB71" s="91">
        <f t="shared" si="28"/>
        <v>459373.51887487969</v>
      </c>
      <c r="AC71" s="91">
        <f t="shared" si="29"/>
        <v>11650.629246679408</v>
      </c>
      <c r="AD71" s="90">
        <v>45.654237911892487</v>
      </c>
      <c r="AE71" s="61"/>
      <c r="AF71" s="61"/>
    </row>
    <row r="72" spans="1:34" s="89" customFormat="1" ht="15" hidden="1" customHeight="1" x14ac:dyDescent="0.25">
      <c r="A72" s="68" t="s">
        <v>326</v>
      </c>
      <c r="B72" s="97">
        <v>20</v>
      </c>
      <c r="C72" s="98">
        <v>57</v>
      </c>
      <c r="D72" s="91">
        <v>30.626585804133065</v>
      </c>
      <c r="E72" s="91">
        <v>36.010646900269514</v>
      </c>
      <c r="F72" s="91">
        <v>34.19630727762793</v>
      </c>
      <c r="G72" s="91">
        <v>30.422030548068513</v>
      </c>
      <c r="H72" s="91">
        <v>142.86609164420463</v>
      </c>
      <c r="I72" s="91">
        <v>123.39750224618169</v>
      </c>
      <c r="J72" s="91">
        <v>34.818796046720571</v>
      </c>
      <c r="K72" s="91">
        <v>69.351841868822959</v>
      </c>
      <c r="L72" s="91">
        <v>2.631778975741268</v>
      </c>
      <c r="M72" s="91">
        <v>2.6139532794249134</v>
      </c>
      <c r="N72" s="91">
        <v>6.8933243486074574</v>
      </c>
      <c r="O72" s="96">
        <v>25.676720575022404</v>
      </c>
      <c r="P72" s="97"/>
      <c r="Q72" s="97"/>
      <c r="R72" s="96">
        <v>43.126361185983825</v>
      </c>
      <c r="S72" s="96">
        <v>0.2807187780772688</v>
      </c>
      <c r="T72" s="96">
        <f t="shared" si="20"/>
        <v>19.468589398022942</v>
      </c>
      <c r="U72" s="93">
        <f t="shared" si="21"/>
        <v>5.384061096136449</v>
      </c>
      <c r="V72" s="93">
        <f t="shared" si="22"/>
        <v>56.239101527403392</v>
      </c>
      <c r="W72" s="95">
        <f t="shared" si="23"/>
        <v>2406.1104847132287</v>
      </c>
      <c r="X72" s="94">
        <f t="shared" si="24"/>
        <v>133.13179694519317</v>
      </c>
      <c r="Y72" s="94">
        <f t="shared" si="25"/>
        <v>123.39750224618169</v>
      </c>
      <c r="Z72" s="93">
        <f t="shared" si="26"/>
        <v>247.17871803876747</v>
      </c>
      <c r="AA72" s="92">
        <f t="shared" si="27"/>
        <v>0.62184882223540816</v>
      </c>
      <c r="AB72" s="91">
        <f t="shared" si="28"/>
        <v>426225.28586348618</v>
      </c>
      <c r="AC72" s="91">
        <f t="shared" si="29"/>
        <v>5593.1268398115635</v>
      </c>
      <c r="AD72" s="90">
        <v>47.192313615443247</v>
      </c>
      <c r="AE72" s="61"/>
      <c r="AF72" s="61"/>
      <c r="AG72" s="60"/>
      <c r="AH72" s="60"/>
    </row>
    <row r="73" spans="1:34" s="89" customFormat="1" ht="15" hidden="1" customHeight="1" x14ac:dyDescent="0.25">
      <c r="A73" s="68" t="s">
        <v>325</v>
      </c>
      <c r="B73" s="97">
        <v>20</v>
      </c>
      <c r="C73" s="98">
        <v>57</v>
      </c>
      <c r="D73" s="91">
        <v>36.18850567465315</v>
      </c>
      <c r="E73" s="91">
        <v>48.146412358133716</v>
      </c>
      <c r="F73" s="91">
        <v>43.724713114753506</v>
      </c>
      <c r="G73" s="91">
        <v>38.683969104665678</v>
      </c>
      <c r="H73" s="91">
        <v>199.46281525851242</v>
      </c>
      <c r="I73" s="91">
        <v>193.13545081967192</v>
      </c>
      <c r="J73" s="91">
        <v>40.21497793190423</v>
      </c>
      <c r="K73" s="91">
        <v>154.70813051702419</v>
      </c>
      <c r="L73" s="91">
        <v>2.8766424968474236</v>
      </c>
      <c r="M73" s="91">
        <v>2.8569010088271782</v>
      </c>
      <c r="N73" s="91">
        <v>7.0373959646915907</v>
      </c>
      <c r="O73" s="96">
        <v>25.709334804539886</v>
      </c>
      <c r="P73" s="97"/>
      <c r="Q73" s="97"/>
      <c r="R73" s="96">
        <v>97.759590163934561</v>
      </c>
      <c r="S73" s="96">
        <v>4.075346784363254E-2</v>
      </c>
      <c r="T73" s="96">
        <f t="shared" si="20"/>
        <v>6.3273644388405046</v>
      </c>
      <c r="U73" s="93">
        <f t="shared" si="21"/>
        <v>11.957906683480566</v>
      </c>
      <c r="V73" s="93">
        <f t="shared" si="22"/>
        <v>126.23386034047937</v>
      </c>
      <c r="W73" s="95">
        <f t="shared" si="23"/>
        <v>5400.7373276234566</v>
      </c>
      <c r="X73" s="94">
        <f t="shared" si="24"/>
        <v>196.29913303909217</v>
      </c>
      <c r="Y73" s="94">
        <f t="shared" si="25"/>
        <v>193.13545081967192</v>
      </c>
      <c r="Z73" s="93">
        <f t="shared" si="26"/>
        <v>1707.1048711754454</v>
      </c>
      <c r="AA73" s="92">
        <f t="shared" si="27"/>
        <v>0.63189691347978005</v>
      </c>
      <c r="AB73" s="91">
        <f t="shared" si="28"/>
        <v>956702.04089329788</v>
      </c>
      <c r="AC73" s="91">
        <f t="shared" si="29"/>
        <v>7856.7104182994381</v>
      </c>
      <c r="AD73" s="90">
        <v>71.366671017759188</v>
      </c>
      <c r="AE73" s="61"/>
      <c r="AF73" s="61"/>
      <c r="AG73" s="60"/>
    </row>
    <row r="74" spans="1:34" ht="15" customHeight="1" x14ac:dyDescent="0.25">
      <c r="A74" s="174" t="s">
        <v>324</v>
      </c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F74" s="80"/>
      <c r="AH74" s="89"/>
    </row>
    <row r="75" spans="1:34" s="89" customFormat="1" ht="15" customHeight="1" x14ac:dyDescent="0.35">
      <c r="A75" s="71" t="s">
        <v>240</v>
      </c>
      <c r="B75" s="71" t="s">
        <v>195</v>
      </c>
      <c r="C75" s="71" t="s">
        <v>239</v>
      </c>
      <c r="D75" s="71" t="s">
        <v>238</v>
      </c>
      <c r="E75" s="71" t="s">
        <v>237</v>
      </c>
      <c r="F75" s="71" t="s">
        <v>236</v>
      </c>
      <c r="G75" s="71" t="s">
        <v>235</v>
      </c>
      <c r="H75" s="71" t="s">
        <v>234</v>
      </c>
      <c r="I75" s="71" t="s">
        <v>233</v>
      </c>
      <c r="J75" s="71" t="s">
        <v>232</v>
      </c>
      <c r="K75" s="71" t="s">
        <v>231</v>
      </c>
      <c r="L75" s="71" t="s">
        <v>230</v>
      </c>
      <c r="M75" s="71" t="s">
        <v>229</v>
      </c>
      <c r="N75" s="71" t="s">
        <v>228</v>
      </c>
      <c r="O75" s="71" t="s">
        <v>227</v>
      </c>
      <c r="P75" s="71" t="s">
        <v>226</v>
      </c>
      <c r="Q75" s="71" t="s">
        <v>225</v>
      </c>
      <c r="R75" s="71" t="s">
        <v>224</v>
      </c>
      <c r="S75" s="71" t="s">
        <v>223</v>
      </c>
      <c r="T75" s="69" t="s">
        <v>222</v>
      </c>
      <c r="U75" s="69" t="s">
        <v>221</v>
      </c>
      <c r="V75" s="69" t="s">
        <v>220</v>
      </c>
      <c r="W75" s="69" t="s">
        <v>219</v>
      </c>
      <c r="X75" s="69" t="s">
        <v>218</v>
      </c>
      <c r="Y75" s="69" t="s">
        <v>217</v>
      </c>
      <c r="Z75" s="69" t="s">
        <v>216</v>
      </c>
      <c r="AA75" s="73" t="s">
        <v>215</v>
      </c>
      <c r="AB75" s="69" t="s">
        <v>214</v>
      </c>
      <c r="AC75" s="69" t="s">
        <v>213</v>
      </c>
      <c r="AD75" s="69" t="s">
        <v>212</v>
      </c>
      <c r="AE75" s="85"/>
      <c r="AF75" s="61"/>
      <c r="AG75" s="60"/>
    </row>
    <row r="76" spans="1:34" s="89" customFormat="1" ht="15" customHeight="1" x14ac:dyDescent="0.25">
      <c r="A76" s="72"/>
      <c r="B76" s="71" t="s">
        <v>211</v>
      </c>
      <c r="C76" s="71" t="s">
        <v>210</v>
      </c>
      <c r="D76" s="71" t="s">
        <v>204</v>
      </c>
      <c r="E76" s="71" t="s">
        <v>204</v>
      </c>
      <c r="F76" s="71" t="s">
        <v>204</v>
      </c>
      <c r="G76" s="71" t="s">
        <v>204</v>
      </c>
      <c r="H76" s="71" t="s">
        <v>204</v>
      </c>
      <c r="I76" s="71" t="s">
        <v>204</v>
      </c>
      <c r="J76" s="71" t="s">
        <v>204</v>
      </c>
      <c r="K76" s="71" t="s">
        <v>206</v>
      </c>
      <c r="L76" s="71" t="s">
        <v>209</v>
      </c>
      <c r="M76" s="71" t="s">
        <v>209</v>
      </c>
      <c r="N76" s="71" t="s">
        <v>208</v>
      </c>
      <c r="O76" s="71" t="s">
        <v>204</v>
      </c>
      <c r="P76" s="71" t="s">
        <v>204</v>
      </c>
      <c r="Q76" s="71" t="s">
        <v>204</v>
      </c>
      <c r="R76" s="71" t="s">
        <v>206</v>
      </c>
      <c r="S76" s="71" t="s">
        <v>207</v>
      </c>
      <c r="T76" s="69" t="s">
        <v>204</v>
      </c>
      <c r="U76" s="69" t="s">
        <v>204</v>
      </c>
      <c r="V76" s="69" t="s">
        <v>206</v>
      </c>
      <c r="W76" s="69" t="s">
        <v>4</v>
      </c>
      <c r="X76" s="69" t="s">
        <v>204</v>
      </c>
      <c r="Y76" s="69" t="s">
        <v>204</v>
      </c>
      <c r="Z76" s="69" t="s">
        <v>205</v>
      </c>
      <c r="AA76" s="70"/>
      <c r="AB76" s="69" t="s">
        <v>4</v>
      </c>
      <c r="AC76" s="69" t="s">
        <v>205</v>
      </c>
      <c r="AD76" s="69" t="s">
        <v>204</v>
      </c>
      <c r="AE76" s="85"/>
      <c r="AF76" s="80"/>
      <c r="AG76" s="60"/>
    </row>
    <row r="77" spans="1:34" s="89" customFormat="1" ht="15" customHeight="1" x14ac:dyDescent="0.25">
      <c r="A77" s="68" t="s">
        <v>323</v>
      </c>
      <c r="B77" s="86">
        <v>3</v>
      </c>
      <c r="C77" s="67">
        <f t="shared" ref="C77:C99" si="30">ROUND(((B77/1000)/(9*PI()*1240))*10^8,1)</f>
        <v>8.6</v>
      </c>
      <c r="D77" s="86">
        <v>29.047224220623516</v>
      </c>
      <c r="E77" s="86">
        <v>34.74616426858514</v>
      </c>
      <c r="F77" s="86">
        <v>32.255312350119908</v>
      </c>
      <c r="G77" s="86">
        <v>28.658873621103094</v>
      </c>
      <c r="H77" s="86">
        <v>114.06431774580329</v>
      </c>
      <c r="I77" s="86">
        <v>116.17580275779387</v>
      </c>
      <c r="J77" s="86">
        <v>28.128723980815305</v>
      </c>
      <c r="K77" s="86">
        <v>70.611142086330972</v>
      </c>
      <c r="L77" s="86">
        <v>3.0578567146283047</v>
      </c>
      <c r="M77" s="86">
        <v>3.0439647482014389</v>
      </c>
      <c r="N77" s="86">
        <v>7.4923293764987928</v>
      </c>
      <c r="O77" s="86">
        <v>21.079434892086308</v>
      </c>
      <c r="P77" s="86"/>
      <c r="Q77" s="86">
        <v>20.913575179856135</v>
      </c>
      <c r="R77" s="86">
        <v>49.6132026378897</v>
      </c>
      <c r="S77" s="86">
        <v>-2.9905515587530102E-2</v>
      </c>
      <c r="T77" s="86">
        <f t="shared" ref="T77:T99" si="31">H77-I77</f>
        <v>-2.111485011990581</v>
      </c>
      <c r="U77" s="86">
        <f t="shared" ref="U77:U99" si="32">E77-D77</f>
        <v>5.6989400479616243</v>
      </c>
      <c r="V77" s="86">
        <f t="shared" ref="V77:V99" si="33">(K77+R77)/2</f>
        <v>60.112172362110336</v>
      </c>
      <c r="W77" s="86">
        <f t="shared" ref="W77:W99" si="34">V77/(PI()*0.006*1.24)</f>
        <v>2571.8143471564181</v>
      </c>
      <c r="X77" s="86">
        <f t="shared" ref="X77:X99" si="35">(I77+H77)/2</f>
        <v>115.12006025179858</v>
      </c>
      <c r="Y77" s="86">
        <f t="shared" ref="Y77:Y99" si="36">I77</f>
        <v>116.17580275779387</v>
      </c>
      <c r="Z77" s="86">
        <f t="shared" ref="Z77:Z99" si="37">W77/(X77-I77)</f>
        <v>-2436.0242507540688</v>
      </c>
      <c r="AA77" s="86">
        <f t="shared" ref="AA77:AA99" si="38">R77/K77</f>
        <v>0.70262569294278432</v>
      </c>
      <c r="AB77" s="86">
        <f t="shared" ref="AB77:AB99" si="39">V77/(PI()*0.006*0.007)</f>
        <v>455578.54149627965</v>
      </c>
      <c r="AC77" s="67">
        <f t="shared" ref="AC77:AC99" si="40">AB77/(I77-AD77)</f>
        <v>6623.1008998794787</v>
      </c>
      <c r="AD77" s="83">
        <v>47.389512410840254</v>
      </c>
      <c r="AE77" s="85"/>
      <c r="AF77" s="61"/>
      <c r="AG77" s="60"/>
      <c r="AH77" s="60"/>
    </row>
    <row r="78" spans="1:34" s="89" customFormat="1" ht="15" customHeight="1" x14ac:dyDescent="0.25">
      <c r="A78" s="68" t="s">
        <v>322</v>
      </c>
      <c r="B78" s="86">
        <v>3</v>
      </c>
      <c r="C78" s="67">
        <f t="shared" si="30"/>
        <v>8.6</v>
      </c>
      <c r="D78" s="86">
        <v>34.053442994011974</v>
      </c>
      <c r="E78" s="86">
        <v>48.646487185628757</v>
      </c>
      <c r="F78" s="86">
        <v>43.256319281437129</v>
      </c>
      <c r="G78" s="86">
        <v>36.835936766467064</v>
      </c>
      <c r="H78" s="86">
        <v>137.38890299401186</v>
      </c>
      <c r="I78" s="86">
        <v>138.20377664670656</v>
      </c>
      <c r="J78" s="86">
        <v>31.015649221556874</v>
      </c>
      <c r="K78" s="86">
        <v>154.2261579640718</v>
      </c>
      <c r="L78" s="86">
        <v>3.0766356886227468</v>
      </c>
      <c r="M78" s="86">
        <v>3.0631099401197632</v>
      </c>
      <c r="N78" s="86">
        <v>7.4182815568862184</v>
      </c>
      <c r="O78" s="86">
        <v>21.910556167664662</v>
      </c>
      <c r="P78" s="86"/>
      <c r="Q78" s="86">
        <v>20.986253053892188</v>
      </c>
      <c r="R78" s="86">
        <v>125.76597029940129</v>
      </c>
      <c r="S78" s="86">
        <v>-5.283952095808387E-3</v>
      </c>
      <c r="T78" s="86">
        <f t="shared" si="31"/>
        <v>-0.81487365269470047</v>
      </c>
      <c r="U78" s="86">
        <f t="shared" si="32"/>
        <v>14.593044191616784</v>
      </c>
      <c r="V78" s="86">
        <f t="shared" si="33"/>
        <v>139.99606413173655</v>
      </c>
      <c r="W78" s="86">
        <f t="shared" si="34"/>
        <v>5989.5337688107156</v>
      </c>
      <c r="X78" s="86">
        <f t="shared" si="35"/>
        <v>137.79633982035921</v>
      </c>
      <c r="Y78" s="86">
        <f t="shared" si="36"/>
        <v>138.20377664670656</v>
      </c>
      <c r="Z78" s="86">
        <f t="shared" si="37"/>
        <v>-14700.521360591214</v>
      </c>
      <c r="AA78" s="86">
        <f t="shared" si="38"/>
        <v>0.81546458758766116</v>
      </c>
      <c r="AB78" s="86">
        <f t="shared" si="39"/>
        <v>1061003.1247607551</v>
      </c>
      <c r="AC78" s="67">
        <f t="shared" si="40"/>
        <v>17573.300645525513</v>
      </c>
      <c r="AD78" s="83">
        <v>77.827917486127859</v>
      </c>
      <c r="AE78" s="85"/>
      <c r="AF78" s="61"/>
      <c r="AG78" s="60"/>
      <c r="AH78" s="60"/>
    </row>
    <row r="79" spans="1:34" ht="15" customHeight="1" x14ac:dyDescent="0.25">
      <c r="A79" s="88" t="s">
        <v>321</v>
      </c>
      <c r="B79" s="67">
        <v>4</v>
      </c>
      <c r="C79" s="67">
        <f t="shared" si="30"/>
        <v>11.4</v>
      </c>
      <c r="D79" s="67">
        <v>26.212563516746425</v>
      </c>
      <c r="E79" s="67">
        <v>31.532602870813459</v>
      </c>
      <c r="F79" s="67">
        <v>29.271211124401919</v>
      </c>
      <c r="G79" s="67">
        <v>25.953563755980877</v>
      </c>
      <c r="H79" s="67">
        <v>114.33869916267957</v>
      </c>
      <c r="I79" s="67">
        <v>115.25871363636358</v>
      </c>
      <c r="J79" s="67">
        <v>25.80456566985643</v>
      </c>
      <c r="K79" s="67">
        <v>70.563919856459322</v>
      </c>
      <c r="L79" s="67">
        <v>3.0800303827751043</v>
      </c>
      <c r="M79" s="67">
        <v>3.0664721291866086</v>
      </c>
      <c r="N79" s="67">
        <v>7.3880269138756294</v>
      </c>
      <c r="O79" s="67">
        <v>18.750695095693743</v>
      </c>
      <c r="P79" s="67">
        <v>38.295282535885157</v>
      </c>
      <c r="Q79" s="67">
        <v>18.366367105263151</v>
      </c>
      <c r="R79" s="67">
        <v>45.67860526315787</v>
      </c>
      <c r="S79" s="67">
        <v>-1.3036124401913892E-2</v>
      </c>
      <c r="T79" s="67">
        <f t="shared" si="31"/>
        <v>-0.92001447368400591</v>
      </c>
      <c r="U79" s="67">
        <f t="shared" si="32"/>
        <v>5.3200393540670348</v>
      </c>
      <c r="V79" s="86">
        <f t="shared" si="33"/>
        <v>58.121262559808599</v>
      </c>
      <c r="W79" s="86">
        <f t="shared" si="34"/>
        <v>2486.6360847138294</v>
      </c>
      <c r="X79" s="86">
        <f t="shared" si="35"/>
        <v>114.79870639952158</v>
      </c>
      <c r="Y79" s="86">
        <f t="shared" si="36"/>
        <v>115.25871363636358</v>
      </c>
      <c r="Z79" s="86">
        <f t="shared" si="37"/>
        <v>-5405.6455758932016</v>
      </c>
      <c r="AA79" s="86">
        <f t="shared" si="38"/>
        <v>0.64733656174539334</v>
      </c>
      <c r="AB79" s="67">
        <f t="shared" si="39"/>
        <v>440489.82072073541</v>
      </c>
      <c r="AC79" s="67">
        <f t="shared" si="40"/>
        <v>5723.3651673566974</v>
      </c>
      <c r="AD79" s="87">
        <v>38.295282535885157</v>
      </c>
      <c r="AE79" s="85"/>
    </row>
    <row r="80" spans="1:34" ht="15" customHeight="1" x14ac:dyDescent="0.25">
      <c r="A80" s="88" t="s">
        <v>320</v>
      </c>
      <c r="B80" s="67">
        <v>4</v>
      </c>
      <c r="C80" s="67">
        <f t="shared" si="30"/>
        <v>11.4</v>
      </c>
      <c r="D80" s="67">
        <v>31.423485971223027</v>
      </c>
      <c r="E80" s="67">
        <v>45.304881534772178</v>
      </c>
      <c r="F80" s="67">
        <v>39.933444364508382</v>
      </c>
      <c r="G80" s="67">
        <v>33.920815347721813</v>
      </c>
      <c r="H80" s="67">
        <v>136.24377613908865</v>
      </c>
      <c r="I80" s="67">
        <v>138.20006894484399</v>
      </c>
      <c r="J80" s="67">
        <v>28.759781055155887</v>
      </c>
      <c r="K80" s="67">
        <v>150.45957086330941</v>
      </c>
      <c r="L80" s="67">
        <v>3.0703219424460664</v>
      </c>
      <c r="M80" s="67">
        <v>3.0569998800959279</v>
      </c>
      <c r="N80" s="67">
        <v>7.3860770983213548</v>
      </c>
      <c r="O80" s="67">
        <v>18.633725779376498</v>
      </c>
      <c r="P80" s="67">
        <v>65.321230455635543</v>
      </c>
      <c r="Q80" s="67">
        <v>18.349614868105501</v>
      </c>
      <c r="R80" s="67">
        <v>119.1208404076739</v>
      </c>
      <c r="S80" s="67">
        <v>-1.3001079136690658E-2</v>
      </c>
      <c r="T80" s="67">
        <f t="shared" si="31"/>
        <v>-1.9562928057553393</v>
      </c>
      <c r="U80" s="67">
        <f t="shared" si="32"/>
        <v>13.881395563549152</v>
      </c>
      <c r="V80" s="86">
        <f t="shared" si="33"/>
        <v>134.79020563549165</v>
      </c>
      <c r="W80" s="86">
        <f t="shared" si="34"/>
        <v>5766.8084696939632</v>
      </c>
      <c r="X80" s="86">
        <f t="shared" si="35"/>
        <v>137.22192254196631</v>
      </c>
      <c r="Y80" s="86">
        <f t="shared" si="36"/>
        <v>138.20006894484399</v>
      </c>
      <c r="Z80" s="86">
        <f t="shared" si="37"/>
        <v>-5895.6496212920147</v>
      </c>
      <c r="AA80" s="86">
        <f t="shared" si="38"/>
        <v>0.79171328034621113</v>
      </c>
      <c r="AB80" s="67">
        <f t="shared" si="39"/>
        <v>1021548.9289172163</v>
      </c>
      <c r="AC80" s="67">
        <f t="shared" si="40"/>
        <v>14017.085756223769</v>
      </c>
      <c r="AD80" s="87">
        <v>65.321230455635543</v>
      </c>
      <c r="AE80" s="85"/>
      <c r="AG80" s="61"/>
    </row>
    <row r="81" spans="1:33" ht="15" customHeight="1" x14ac:dyDescent="0.25">
      <c r="A81" s="88" t="s">
        <v>319</v>
      </c>
      <c r="B81" s="67">
        <v>4</v>
      </c>
      <c r="C81" s="67">
        <f t="shared" si="30"/>
        <v>11.4</v>
      </c>
      <c r="D81" s="67">
        <v>34.306188327316512</v>
      </c>
      <c r="E81" s="67">
        <v>49.061290373044514</v>
      </c>
      <c r="F81" s="67">
        <v>43.162048255114286</v>
      </c>
      <c r="G81" s="67">
        <v>37.155278700361031</v>
      </c>
      <c r="H81" s="67">
        <v>137.48638122743682</v>
      </c>
      <c r="I81" s="67">
        <v>136.78083983152823</v>
      </c>
      <c r="J81" s="67">
        <v>30.33657496991577</v>
      </c>
      <c r="K81" s="67">
        <v>154.57743537906146</v>
      </c>
      <c r="L81" s="67">
        <v>3.0609250300842126</v>
      </c>
      <c r="M81" s="67">
        <v>3.0475492178098631</v>
      </c>
      <c r="N81" s="67">
        <v>7.4233682310469309</v>
      </c>
      <c r="O81" s="67">
        <v>20.653665944645024</v>
      </c>
      <c r="P81" s="67"/>
      <c r="Q81" s="67">
        <v>20.186893381468117</v>
      </c>
      <c r="R81" s="67">
        <v>127.24952358604092</v>
      </c>
      <c r="S81" s="67">
        <v>4.5669073405535466E-3</v>
      </c>
      <c r="T81" s="67">
        <f t="shared" si="31"/>
        <v>0.70554139590859677</v>
      </c>
      <c r="U81" s="67">
        <f t="shared" si="32"/>
        <v>14.755102045728002</v>
      </c>
      <c r="V81" s="86">
        <f t="shared" si="33"/>
        <v>140.9134794825512</v>
      </c>
      <c r="W81" s="86">
        <f t="shared" si="34"/>
        <v>6028.784088152257</v>
      </c>
      <c r="X81" s="86">
        <f t="shared" si="35"/>
        <v>137.13361052948252</v>
      </c>
      <c r="Y81" s="86">
        <f t="shared" si="36"/>
        <v>136.78083983152823</v>
      </c>
      <c r="Z81" s="86">
        <f t="shared" si="37"/>
        <v>17089.809678391397</v>
      </c>
      <c r="AA81" s="86">
        <f t="shared" si="38"/>
        <v>0.82320891968477905</v>
      </c>
      <c r="AB81" s="67">
        <f t="shared" si="39"/>
        <v>1067956.0384726855</v>
      </c>
      <c r="AC81" s="67">
        <f t="shared" si="40"/>
        <v>18329.232020049185</v>
      </c>
      <c r="AD81" s="81">
        <v>78.515657891307484</v>
      </c>
      <c r="AE81" s="85"/>
    </row>
    <row r="82" spans="1:33" ht="15" customHeight="1" x14ac:dyDescent="0.25">
      <c r="A82" s="88" t="s">
        <v>318</v>
      </c>
      <c r="B82" s="67">
        <v>4</v>
      </c>
      <c r="C82" s="67">
        <f t="shared" si="30"/>
        <v>11.4</v>
      </c>
      <c r="D82" s="67">
        <v>35.321014217443256</v>
      </c>
      <c r="E82" s="67">
        <v>49.946481959378765</v>
      </c>
      <c r="F82" s="67">
        <v>44.585269056152931</v>
      </c>
      <c r="G82" s="67">
        <v>38.265302270011937</v>
      </c>
      <c r="H82" s="67">
        <v>141.12295686977302</v>
      </c>
      <c r="I82" s="67">
        <v>142.88394456391876</v>
      </c>
      <c r="J82" s="67">
        <v>32.602908602150549</v>
      </c>
      <c r="K82" s="67">
        <v>153.80702090800477</v>
      </c>
      <c r="L82" s="67">
        <v>3.0587431302270058</v>
      </c>
      <c r="M82" s="67">
        <v>3.0456896057347684</v>
      </c>
      <c r="N82" s="67">
        <v>7.3817405017921285</v>
      </c>
      <c r="O82" s="67">
        <v>22.388584826762248</v>
      </c>
      <c r="P82" s="67"/>
      <c r="Q82" s="67">
        <v>21.874378614097981</v>
      </c>
      <c r="R82" s="67">
        <v>125.42344778972513</v>
      </c>
      <c r="S82" s="67">
        <v>-1.1453405017921154E-2</v>
      </c>
      <c r="T82" s="67">
        <f t="shared" si="31"/>
        <v>-1.7609876941457401</v>
      </c>
      <c r="U82" s="67">
        <f t="shared" si="32"/>
        <v>14.625467741935509</v>
      </c>
      <c r="V82" s="86">
        <f t="shared" si="33"/>
        <v>139.61523434886496</v>
      </c>
      <c r="W82" s="86">
        <f t="shared" si="34"/>
        <v>5973.2405047191487</v>
      </c>
      <c r="X82" s="86">
        <f t="shared" si="35"/>
        <v>142.00345071684589</v>
      </c>
      <c r="Y82" s="86">
        <f t="shared" si="36"/>
        <v>142.88394456391876</v>
      </c>
      <c r="Z82" s="86">
        <f t="shared" si="37"/>
        <v>-6783.9662078011097</v>
      </c>
      <c r="AA82" s="86">
        <f t="shared" si="38"/>
        <v>0.81545983433840474</v>
      </c>
      <c r="AB82" s="67">
        <f t="shared" si="39"/>
        <v>1058116.8894073919</v>
      </c>
      <c r="AC82" s="67">
        <f t="shared" si="40"/>
        <v>16542.520855857321</v>
      </c>
      <c r="AD82" s="81">
        <v>78.920483454982786</v>
      </c>
      <c r="AE82" s="85"/>
    </row>
    <row r="83" spans="1:33" ht="15" customHeight="1" x14ac:dyDescent="0.25">
      <c r="A83" s="88" t="s">
        <v>317</v>
      </c>
      <c r="B83" s="67">
        <v>4</v>
      </c>
      <c r="C83" s="67">
        <f t="shared" si="30"/>
        <v>11.4</v>
      </c>
      <c r="D83" s="67">
        <v>34.924181600955791</v>
      </c>
      <c r="E83" s="67">
        <v>49.683593548387108</v>
      </c>
      <c r="F83" s="67">
        <v>44.285896296296315</v>
      </c>
      <c r="G83" s="67">
        <v>37.818096176821975</v>
      </c>
      <c r="H83" s="67">
        <v>139.40203918757456</v>
      </c>
      <c r="I83" s="67">
        <v>137.71748291517318</v>
      </c>
      <c r="J83" s="67">
        <v>31.710065710872129</v>
      </c>
      <c r="K83" s="67">
        <v>153.73777037037036</v>
      </c>
      <c r="L83" s="67">
        <v>3.0865281959378725</v>
      </c>
      <c r="M83" s="67">
        <v>3.0735635603345308</v>
      </c>
      <c r="N83" s="67">
        <v>7.4202046594981734</v>
      </c>
      <c r="O83" s="67">
        <v>21.016042652329716</v>
      </c>
      <c r="P83" s="67">
        <v>137.05841577060951</v>
      </c>
      <c r="Q83" s="67">
        <v>20.683293548387098</v>
      </c>
      <c r="R83" s="67">
        <v>127.23195400238951</v>
      </c>
      <c r="S83" s="67">
        <v>1.0957825567502988E-2</v>
      </c>
      <c r="T83" s="67">
        <f t="shared" si="31"/>
        <v>1.6845562724013803</v>
      </c>
      <c r="U83" s="67">
        <f t="shared" si="32"/>
        <v>14.759411947431317</v>
      </c>
      <c r="V83" s="86">
        <f t="shared" si="33"/>
        <v>140.48486218637993</v>
      </c>
      <c r="W83" s="86">
        <f t="shared" si="34"/>
        <v>6010.4463028349619</v>
      </c>
      <c r="X83" s="86">
        <f t="shared" si="35"/>
        <v>138.55976105137387</v>
      </c>
      <c r="Y83" s="86">
        <f t="shared" si="36"/>
        <v>137.71748291517318</v>
      </c>
      <c r="Z83" s="86">
        <f t="shared" si="37"/>
        <v>7135.9400707545483</v>
      </c>
      <c r="AA83" s="86">
        <f t="shared" si="38"/>
        <v>0.8275907325563161</v>
      </c>
      <c r="AB83" s="67">
        <f t="shared" si="39"/>
        <v>1064707.6307879074</v>
      </c>
      <c r="AC83" s="67">
        <f t="shared" si="40"/>
        <v>18150.069497356428</v>
      </c>
      <c r="AD83" s="81">
        <v>79.056130078866801</v>
      </c>
      <c r="AE83" s="85"/>
    </row>
    <row r="84" spans="1:33" ht="15" customHeight="1" x14ac:dyDescent="0.25">
      <c r="A84" s="88" t="s">
        <v>316</v>
      </c>
      <c r="B84" s="67">
        <v>4</v>
      </c>
      <c r="C84" s="67">
        <f t="shared" si="30"/>
        <v>11.4</v>
      </c>
      <c r="D84" s="67">
        <v>27.291381061519903</v>
      </c>
      <c r="E84" s="67">
        <v>32.885966948130239</v>
      </c>
      <c r="F84" s="67">
        <v>30.0563018094089</v>
      </c>
      <c r="G84" s="67">
        <v>27.337327985524702</v>
      </c>
      <c r="H84" s="67">
        <v>118.47090916767192</v>
      </c>
      <c r="I84" s="67">
        <v>118.20534101326895</v>
      </c>
      <c r="J84" s="67">
        <v>27.211350904704492</v>
      </c>
      <c r="K84" s="67">
        <v>70.674183835946863</v>
      </c>
      <c r="L84" s="67">
        <v>3.0258423401688721</v>
      </c>
      <c r="M84" s="67">
        <v>3.0126166465621234</v>
      </c>
      <c r="N84" s="67">
        <v>7.5284481302774546</v>
      </c>
      <c r="O84" s="67">
        <v>21.192258262967421</v>
      </c>
      <c r="P84" s="67">
        <v>117.86208275030145</v>
      </c>
      <c r="Q84" s="67">
        <v>19.548578287092877</v>
      </c>
      <c r="R84" s="67">
        <v>48.944990952955401</v>
      </c>
      <c r="S84" s="67">
        <v>3.7576598311218306E-3</v>
      </c>
      <c r="T84" s="67">
        <f t="shared" si="31"/>
        <v>0.26556815440297044</v>
      </c>
      <c r="U84" s="67">
        <f t="shared" si="32"/>
        <v>5.5945858866103357</v>
      </c>
      <c r="V84" s="86">
        <f t="shared" si="33"/>
        <v>59.809587394451128</v>
      </c>
      <c r="W84" s="86">
        <f t="shared" si="34"/>
        <v>2558.868676912261</v>
      </c>
      <c r="X84" s="86">
        <f t="shared" si="35"/>
        <v>118.33812509047044</v>
      </c>
      <c r="Y84" s="86">
        <f t="shared" si="36"/>
        <v>118.20534101326895</v>
      </c>
      <c r="Z84" s="86">
        <f t="shared" si="37"/>
        <v>19270.900026885924</v>
      </c>
      <c r="AA84" s="86">
        <f t="shared" si="38"/>
        <v>0.6925441270969529</v>
      </c>
      <c r="AB84" s="67">
        <f t="shared" si="39"/>
        <v>453285.30848160043</v>
      </c>
      <c r="AC84" s="67">
        <f t="shared" si="40"/>
        <v>6233.193650214127</v>
      </c>
      <c r="AD84" s="81">
        <v>45.484143194229773</v>
      </c>
      <c r="AE84" s="85"/>
      <c r="AG84" s="61"/>
    </row>
    <row r="85" spans="1:33" ht="15" customHeight="1" x14ac:dyDescent="0.25">
      <c r="A85" s="88" t="s">
        <v>316</v>
      </c>
      <c r="B85" s="67">
        <v>4</v>
      </c>
      <c r="C85" s="67">
        <f t="shared" si="30"/>
        <v>11.4</v>
      </c>
      <c r="D85" s="67">
        <v>29.237249400479627</v>
      </c>
      <c r="E85" s="67">
        <v>34.82420575539571</v>
      </c>
      <c r="F85" s="67">
        <v>32.246003477218245</v>
      </c>
      <c r="G85" s="67">
        <v>29.081386570743437</v>
      </c>
      <c r="H85" s="67">
        <v>119.52924688249404</v>
      </c>
      <c r="I85" s="67">
        <v>118.95684844124703</v>
      </c>
      <c r="J85" s="67">
        <v>28.587188729016784</v>
      </c>
      <c r="K85" s="67">
        <v>70.564897002398055</v>
      </c>
      <c r="L85" s="67">
        <v>3.0420729016786412</v>
      </c>
      <c r="M85" s="67">
        <v>3.028796402877695</v>
      </c>
      <c r="N85" s="67">
        <v>7.5030841726618602</v>
      </c>
      <c r="O85" s="67">
        <v>21.15649544364506</v>
      </c>
      <c r="P85" s="66"/>
      <c r="Q85" s="67">
        <v>20.568499160671504</v>
      </c>
      <c r="R85" s="67">
        <v>48.707728297362046</v>
      </c>
      <c r="S85" s="67">
        <v>8.1094724220623551E-3</v>
      </c>
      <c r="T85" s="67">
        <f t="shared" si="31"/>
        <v>0.57239844124700312</v>
      </c>
      <c r="U85" s="67">
        <f t="shared" si="32"/>
        <v>5.586956354916083</v>
      </c>
      <c r="V85" s="86">
        <f t="shared" si="33"/>
        <v>59.636312649880054</v>
      </c>
      <c r="W85" s="86">
        <f t="shared" si="34"/>
        <v>2551.4553618285317</v>
      </c>
      <c r="X85" s="86">
        <f t="shared" si="35"/>
        <v>119.24304766187053</v>
      </c>
      <c r="Y85" s="86">
        <f t="shared" si="36"/>
        <v>118.95684844124703</v>
      </c>
      <c r="Z85" s="86">
        <f t="shared" si="37"/>
        <v>8914.9626482910699</v>
      </c>
      <c r="AA85" s="86">
        <f t="shared" si="38"/>
        <v>0.69025436678107499</v>
      </c>
      <c r="AB85" s="67">
        <f t="shared" si="39"/>
        <v>451972.09266676841</v>
      </c>
      <c r="AC85" s="67">
        <f t="shared" si="40"/>
        <v>6301.37625350899</v>
      </c>
      <c r="AD85" s="81">
        <v>47.23091517149777</v>
      </c>
      <c r="AE85" s="85"/>
      <c r="AF85" s="60"/>
    </row>
    <row r="86" spans="1:33" ht="15" customHeight="1" x14ac:dyDescent="0.25">
      <c r="A86" s="68" t="s">
        <v>315</v>
      </c>
      <c r="B86" s="67">
        <v>5</v>
      </c>
      <c r="C86" s="67">
        <f t="shared" si="30"/>
        <v>14.3</v>
      </c>
      <c r="D86" s="67">
        <v>25.54531652694606</v>
      </c>
      <c r="E86" s="67">
        <v>30.727148982035946</v>
      </c>
      <c r="F86" s="67">
        <v>28.613639999999968</v>
      </c>
      <c r="G86" s="67">
        <v>24.526621556886226</v>
      </c>
      <c r="H86" s="67">
        <v>120.82079245508987</v>
      </c>
      <c r="I86" s="67">
        <v>119.0430953293414</v>
      </c>
      <c r="J86" s="67">
        <v>25.700894970059903</v>
      </c>
      <c r="K86" s="67">
        <v>69.518805748502899</v>
      </c>
      <c r="L86" s="67">
        <v>3.1078566467065833</v>
      </c>
      <c r="M86" s="67">
        <v>3.0940567664670682</v>
      </c>
      <c r="N86" s="67">
        <v>7.5545140119760381</v>
      </c>
      <c r="O86" s="67">
        <v>18.819102395209594</v>
      </c>
      <c r="P86" s="67">
        <v>35.460407065868274</v>
      </c>
      <c r="Q86" s="67">
        <v>18.432816047904197</v>
      </c>
      <c r="R86" s="67">
        <v>45.497084670658644</v>
      </c>
      <c r="S86" s="67">
        <v>2.5569101796407211E-2</v>
      </c>
      <c r="T86" s="67">
        <f t="shared" si="31"/>
        <v>1.7776971257484746</v>
      </c>
      <c r="U86" s="67">
        <f t="shared" si="32"/>
        <v>5.1818324550898858</v>
      </c>
      <c r="V86" s="86">
        <f t="shared" si="33"/>
        <v>57.507945209580768</v>
      </c>
      <c r="W86" s="86">
        <f t="shared" si="34"/>
        <v>2460.3961685921136</v>
      </c>
      <c r="X86" s="86">
        <f t="shared" si="35"/>
        <v>119.93194389221563</v>
      </c>
      <c r="Y86" s="86">
        <f t="shared" si="36"/>
        <v>119.0430953293414</v>
      </c>
      <c r="Z86" s="86">
        <f t="shared" si="37"/>
        <v>2768.0712681089785</v>
      </c>
      <c r="AA86" s="86">
        <f t="shared" si="38"/>
        <v>0.65445722464296552</v>
      </c>
      <c r="AB86" s="67">
        <f t="shared" si="39"/>
        <v>435841.60700774577</v>
      </c>
      <c r="AC86" s="67">
        <f t="shared" si="40"/>
        <v>5214.496160184106</v>
      </c>
      <c r="AD86" s="87">
        <v>35.460407065868274</v>
      </c>
      <c r="AE86" s="85"/>
      <c r="AF86" s="60"/>
    </row>
    <row r="87" spans="1:33" ht="15" customHeight="1" x14ac:dyDescent="0.25">
      <c r="A87" s="68" t="s">
        <v>314</v>
      </c>
      <c r="B87" s="67">
        <v>5</v>
      </c>
      <c r="C87" s="67">
        <f t="shared" si="30"/>
        <v>14.3</v>
      </c>
      <c r="D87" s="67">
        <v>31.72156522781777</v>
      </c>
      <c r="E87" s="67">
        <v>45.903130695443622</v>
      </c>
      <c r="F87" s="67">
        <v>40.824195083932899</v>
      </c>
      <c r="G87" s="67">
        <v>32.963902637889667</v>
      </c>
      <c r="H87" s="67">
        <v>143.15197134292572</v>
      </c>
      <c r="I87" s="67">
        <v>141.30402290167899</v>
      </c>
      <c r="J87" s="67">
        <v>29.91741294964023</v>
      </c>
      <c r="K87" s="67">
        <v>152.07457158273374</v>
      </c>
      <c r="L87" s="67">
        <v>3.1044061151079112</v>
      </c>
      <c r="M87" s="67">
        <v>3.0909345323740962</v>
      </c>
      <c r="N87" s="67">
        <v>7.4217203836930299</v>
      </c>
      <c r="O87" s="67">
        <v>20.636703956834545</v>
      </c>
      <c r="P87" s="67">
        <v>63.999355035971156</v>
      </c>
      <c r="Q87" s="67">
        <v>19.838727697841737</v>
      </c>
      <c r="R87" s="67">
        <v>122.28254628297339</v>
      </c>
      <c r="S87" s="67">
        <v>1.2151199040767365E-2</v>
      </c>
      <c r="T87" s="67">
        <f t="shared" si="31"/>
        <v>1.8479484412467286</v>
      </c>
      <c r="U87" s="67">
        <f t="shared" si="32"/>
        <v>14.181565467625852</v>
      </c>
      <c r="V87" s="86">
        <f t="shared" si="33"/>
        <v>137.17855893285355</v>
      </c>
      <c r="W87" s="86">
        <f t="shared" si="34"/>
        <v>5868.9907904264837</v>
      </c>
      <c r="X87" s="86">
        <f t="shared" si="35"/>
        <v>142.22799712230236</v>
      </c>
      <c r="Y87" s="86">
        <f t="shared" si="36"/>
        <v>141.30402290167899</v>
      </c>
      <c r="Z87" s="86">
        <f t="shared" si="37"/>
        <v>6351.8988511031584</v>
      </c>
      <c r="AA87" s="86">
        <f t="shared" si="38"/>
        <v>0.80409594457708222</v>
      </c>
      <c r="AB87" s="67">
        <f t="shared" si="39"/>
        <v>1039649.7971612626</v>
      </c>
      <c r="AC87" s="67">
        <f t="shared" si="40"/>
        <v>13448.732474568313</v>
      </c>
      <c r="AD87" s="87">
        <v>63.999355035971156</v>
      </c>
      <c r="AE87" s="85"/>
      <c r="AF87" s="60"/>
    </row>
    <row r="88" spans="1:33" ht="15" customHeight="1" x14ac:dyDescent="0.25">
      <c r="A88" s="68" t="s">
        <v>313</v>
      </c>
      <c r="B88" s="67">
        <v>6</v>
      </c>
      <c r="C88" s="67">
        <f t="shared" si="30"/>
        <v>17.100000000000001</v>
      </c>
      <c r="D88" s="67">
        <v>27.64825963855424</v>
      </c>
      <c r="E88" s="67">
        <v>32.917536626506021</v>
      </c>
      <c r="F88" s="67">
        <v>30.799410120481937</v>
      </c>
      <c r="G88" s="67">
        <v>26.975720240963881</v>
      </c>
      <c r="H88" s="67">
        <v>119.4892774698794</v>
      </c>
      <c r="I88" s="67">
        <v>121.84394674698795</v>
      </c>
      <c r="J88" s="67">
        <v>28.233853855421689</v>
      </c>
      <c r="K88" s="67">
        <v>69.592412891566212</v>
      </c>
      <c r="L88" s="67">
        <v>3.0077713253012197</v>
      </c>
      <c r="M88" s="67">
        <v>2.9935110843373489</v>
      </c>
      <c r="N88" s="67">
        <v>7.5294103614457901</v>
      </c>
      <c r="O88" s="67">
        <v>21.074768192771074</v>
      </c>
      <c r="P88" s="67">
        <v>40.317503012048242</v>
      </c>
      <c r="Q88" s="67">
        <v>20.550744337349411</v>
      </c>
      <c r="R88" s="67">
        <v>46.103848192771068</v>
      </c>
      <c r="S88" s="67">
        <v>-3.3835903614457812E-2</v>
      </c>
      <c r="T88" s="67">
        <f t="shared" si="31"/>
        <v>-2.354669277108556</v>
      </c>
      <c r="U88" s="67">
        <f t="shared" si="32"/>
        <v>5.2692769879517805</v>
      </c>
      <c r="V88" s="86">
        <f t="shared" si="33"/>
        <v>57.84813054216864</v>
      </c>
      <c r="W88" s="86">
        <f t="shared" si="34"/>
        <v>2474.9505173148877</v>
      </c>
      <c r="X88" s="86">
        <f t="shared" si="35"/>
        <v>120.66661210843367</v>
      </c>
      <c r="Y88" s="86">
        <f t="shared" si="36"/>
        <v>121.84394674698795</v>
      </c>
      <c r="Z88" s="86">
        <f t="shared" si="37"/>
        <v>-2102.1640205490066</v>
      </c>
      <c r="AA88" s="86">
        <f t="shared" si="38"/>
        <v>0.66248382944569972</v>
      </c>
      <c r="AB88" s="67">
        <f t="shared" si="39"/>
        <v>438419.8059243515</v>
      </c>
      <c r="AC88" s="67">
        <f t="shared" si="40"/>
        <v>5377.6392767695124</v>
      </c>
      <c r="AD88" s="87">
        <v>40.317503012048242</v>
      </c>
      <c r="AE88" s="85"/>
      <c r="AF88" s="60"/>
    </row>
    <row r="89" spans="1:33" ht="17.25" customHeight="1" x14ac:dyDescent="0.25">
      <c r="A89" s="68" t="s">
        <v>312</v>
      </c>
      <c r="B89" s="67">
        <v>6</v>
      </c>
      <c r="C89" s="67">
        <f t="shared" si="30"/>
        <v>17.100000000000001</v>
      </c>
      <c r="D89" s="67">
        <v>33.83480241545896</v>
      </c>
      <c r="E89" s="67">
        <v>47.901601449275418</v>
      </c>
      <c r="F89" s="67">
        <v>43.004716787439634</v>
      </c>
      <c r="G89" s="67">
        <v>35.399158454106249</v>
      </c>
      <c r="H89" s="67">
        <v>150.50874214975835</v>
      </c>
      <c r="I89" s="67">
        <v>154.94846932367162</v>
      </c>
      <c r="J89" s="67">
        <v>32.268791304347872</v>
      </c>
      <c r="K89" s="67">
        <v>153.89566280193239</v>
      </c>
      <c r="L89" s="67">
        <v>3.0512240338164318</v>
      </c>
      <c r="M89" s="67">
        <v>3.0372648550724644</v>
      </c>
      <c r="N89" s="67">
        <v>7.3826032608695709</v>
      </c>
      <c r="O89" s="67">
        <v>21.973723429951679</v>
      </c>
      <c r="P89" s="67">
        <v>75.347990821256062</v>
      </c>
      <c r="Q89" s="67">
        <v>21.695783333333342</v>
      </c>
      <c r="R89" s="67">
        <v>120.64826509661842</v>
      </c>
      <c r="S89" s="67">
        <v>-2.884963768115939E-2</v>
      </c>
      <c r="T89" s="67">
        <f t="shared" si="31"/>
        <v>-4.4397271739132691</v>
      </c>
      <c r="U89" s="67">
        <f t="shared" si="32"/>
        <v>14.066799033816459</v>
      </c>
      <c r="V89" s="86">
        <f t="shared" si="33"/>
        <v>137.2719639492754</v>
      </c>
      <c r="W89" s="86">
        <f t="shared" si="34"/>
        <v>5872.9869920590418</v>
      </c>
      <c r="X89" s="86">
        <f t="shared" si="35"/>
        <v>152.728605736715</v>
      </c>
      <c r="Y89" s="86">
        <f t="shared" si="36"/>
        <v>154.94846932367162</v>
      </c>
      <c r="Z89" s="86">
        <f t="shared" si="37"/>
        <v>-2645.6522042918709</v>
      </c>
      <c r="AA89" s="86">
        <f t="shared" si="38"/>
        <v>0.7839614378989731</v>
      </c>
      <c r="AB89" s="67">
        <f t="shared" si="39"/>
        <v>1040357.695736173</v>
      </c>
      <c r="AC89" s="67">
        <f t="shared" si="40"/>
        <v>13069.74173157266</v>
      </c>
      <c r="AD89" s="87">
        <v>75.347990821256062</v>
      </c>
      <c r="AE89" s="85"/>
      <c r="AF89" s="60"/>
    </row>
    <row r="90" spans="1:33" ht="15" hidden="1" customHeight="1" x14ac:dyDescent="0.25">
      <c r="A90" s="68" t="s">
        <v>311</v>
      </c>
      <c r="B90" s="67">
        <v>6</v>
      </c>
      <c r="C90" s="67">
        <f t="shared" si="30"/>
        <v>17.100000000000001</v>
      </c>
      <c r="D90" s="67">
        <v>28.209034014423082</v>
      </c>
      <c r="E90" s="67">
        <v>33.604209134615374</v>
      </c>
      <c r="F90" s="67">
        <v>31.369113581730819</v>
      </c>
      <c r="G90" s="67">
        <v>27.581047115384631</v>
      </c>
      <c r="H90" s="67">
        <v>125.79785084134622</v>
      </c>
      <c r="I90" s="67">
        <v>125.63939519230766</v>
      </c>
      <c r="J90" s="67">
        <v>29.005601442307675</v>
      </c>
      <c r="K90" s="67">
        <v>70.63502704326919</v>
      </c>
      <c r="L90" s="67">
        <v>3.0637210336538407</v>
      </c>
      <c r="M90" s="67">
        <v>3.0496682692307715</v>
      </c>
      <c r="N90" s="67">
        <v>7.4710948317307588</v>
      </c>
      <c r="O90" s="67">
        <v>21.55873569711537</v>
      </c>
      <c r="P90" s="67"/>
      <c r="Q90" s="67">
        <v>21.239496514423085</v>
      </c>
      <c r="R90" s="67">
        <v>46.837857932692273</v>
      </c>
      <c r="S90" s="67">
        <v>2.2443509615384495E-3</v>
      </c>
      <c r="T90" s="67">
        <f t="shared" si="31"/>
        <v>0.15845564903855802</v>
      </c>
      <c r="U90" s="67">
        <f t="shared" si="32"/>
        <v>5.3951751201922917</v>
      </c>
      <c r="V90" s="86">
        <f t="shared" si="33"/>
        <v>58.736442487980732</v>
      </c>
      <c r="W90" s="86">
        <f t="shared" si="34"/>
        <v>2512.9556886007949</v>
      </c>
      <c r="X90" s="86">
        <f t="shared" si="35"/>
        <v>125.71862301682694</v>
      </c>
      <c r="Y90" s="86">
        <f t="shared" si="36"/>
        <v>125.63939519230766</v>
      </c>
      <c r="Z90" s="86">
        <f t="shared" si="37"/>
        <v>31718.095301093384</v>
      </c>
      <c r="AA90" s="86">
        <f t="shared" si="38"/>
        <v>0.6630967650653069</v>
      </c>
      <c r="AB90" s="67">
        <f t="shared" si="39"/>
        <v>445152.15055214072</v>
      </c>
      <c r="AC90" s="67">
        <f t="shared" si="40"/>
        <v>5564.7586049444508</v>
      </c>
      <c r="AD90" s="81">
        <v>45.644523508815396</v>
      </c>
      <c r="AE90" s="85"/>
      <c r="AF90" s="60"/>
    </row>
    <row r="91" spans="1:33" ht="15" hidden="1" customHeight="1" x14ac:dyDescent="0.25">
      <c r="A91" s="68" t="s">
        <v>310</v>
      </c>
      <c r="B91" s="67">
        <v>6</v>
      </c>
      <c r="C91" s="67">
        <f t="shared" si="30"/>
        <v>17.100000000000001</v>
      </c>
      <c r="D91" s="67">
        <v>21.334574220623509</v>
      </c>
      <c r="E91" s="67">
        <v>36.161044244604334</v>
      </c>
      <c r="F91" s="67">
        <v>33.283906714628309</v>
      </c>
      <c r="G91" s="67">
        <v>17.787165947242205</v>
      </c>
      <c r="H91" s="67">
        <v>150.87102625899277</v>
      </c>
      <c r="I91" s="67">
        <v>153.72582326139056</v>
      </c>
      <c r="J91" s="67">
        <v>32.461708872901681</v>
      </c>
      <c r="K91" s="67">
        <v>153.47406774580332</v>
      </c>
      <c r="L91" s="67">
        <v>3.0680241007194327</v>
      </c>
      <c r="M91" s="67">
        <v>3.0536496402877762</v>
      </c>
      <c r="N91" s="67">
        <v>7.5860996402877809</v>
      </c>
      <c r="O91" s="67">
        <v>21.806615467625925</v>
      </c>
      <c r="P91" s="67"/>
      <c r="Q91" s="67">
        <v>21.453947002398085</v>
      </c>
      <c r="R91" s="67">
        <v>130.78789256594723</v>
      </c>
      <c r="S91" s="67">
        <v>-1.8599880095923272E-2</v>
      </c>
      <c r="T91" s="67">
        <f t="shared" si="31"/>
        <v>-2.8547970023977882</v>
      </c>
      <c r="U91" s="67">
        <f t="shared" si="32"/>
        <v>14.826470023980825</v>
      </c>
      <c r="V91" s="86">
        <f t="shared" si="33"/>
        <v>142.13098015587528</v>
      </c>
      <c r="W91" s="86">
        <f t="shared" si="34"/>
        <v>6080.8731339525903</v>
      </c>
      <c r="X91" s="86">
        <f t="shared" si="35"/>
        <v>152.29842476019166</v>
      </c>
      <c r="Y91" s="86">
        <f t="shared" si="36"/>
        <v>153.72582326139056</v>
      </c>
      <c r="Z91" s="86">
        <f t="shared" si="37"/>
        <v>-4260.1089526471906</v>
      </c>
      <c r="AA91" s="86">
        <f t="shared" si="38"/>
        <v>0.85218235554014998</v>
      </c>
      <c r="AB91" s="67">
        <f t="shared" si="39"/>
        <v>1077183.2408716015</v>
      </c>
      <c r="AC91" s="67">
        <f t="shared" si="40"/>
        <v>12584.313031823509</v>
      </c>
      <c r="AD91" s="81">
        <v>68.128521434298762</v>
      </c>
      <c r="AE91" s="85"/>
      <c r="AF91" s="60"/>
    </row>
    <row r="92" spans="1:33" ht="15" customHeight="1" x14ac:dyDescent="0.25">
      <c r="A92" s="68" t="s">
        <v>309</v>
      </c>
      <c r="B92" s="67">
        <v>8</v>
      </c>
      <c r="C92" s="67">
        <f t="shared" si="30"/>
        <v>22.8</v>
      </c>
      <c r="D92" s="67">
        <v>26.815570913610909</v>
      </c>
      <c r="E92" s="67">
        <v>31.788137352392766</v>
      </c>
      <c r="F92" s="67">
        <v>29.239795773772546</v>
      </c>
      <c r="G92" s="67">
        <v>27.7043627097576</v>
      </c>
      <c r="H92" s="67">
        <v>112.75389092604082</v>
      </c>
      <c r="I92" s="67">
        <v>113.49223983840896</v>
      </c>
      <c r="J92" s="67">
        <v>24.036367122436332</v>
      </c>
      <c r="K92" s="67">
        <v>69.412080795524943</v>
      </c>
      <c r="L92" s="67">
        <v>3.0614402734617712</v>
      </c>
      <c r="M92" s="67">
        <v>3.0479234928526946</v>
      </c>
      <c r="N92" s="67">
        <v>7.4978967681789994</v>
      </c>
      <c r="O92" s="67">
        <v>18.725635114978235</v>
      </c>
      <c r="P92" s="67">
        <v>38.688375761342471</v>
      </c>
      <c r="Q92" s="67">
        <v>18.445074456183953</v>
      </c>
      <c r="R92" s="67">
        <v>43.3281804847731</v>
      </c>
      <c r="S92" s="67">
        <v>-1.0636482287134862E-2</v>
      </c>
      <c r="T92" s="67">
        <f t="shared" si="31"/>
        <v>-0.7383489123681386</v>
      </c>
      <c r="U92" s="67">
        <f t="shared" si="32"/>
        <v>4.9725664387818576</v>
      </c>
      <c r="V92" s="86">
        <f t="shared" si="33"/>
        <v>56.370130640149021</v>
      </c>
      <c r="W92" s="86">
        <f t="shared" si="34"/>
        <v>2411.7163801386087</v>
      </c>
      <c r="X92" s="86">
        <f t="shared" si="35"/>
        <v>113.12306538222489</v>
      </c>
      <c r="Y92" s="86">
        <f t="shared" si="36"/>
        <v>113.49223983840896</v>
      </c>
      <c r="Z92" s="86">
        <f t="shared" si="37"/>
        <v>-6532.7281986599146</v>
      </c>
      <c r="AA92" s="86">
        <f t="shared" si="38"/>
        <v>0.62421670677774155</v>
      </c>
      <c r="AB92" s="67">
        <f t="shared" si="39"/>
        <v>427218.33019598201</v>
      </c>
      <c r="AC92" s="67">
        <f t="shared" si="40"/>
        <v>5711.1799700058464</v>
      </c>
      <c r="AD92" s="87">
        <v>38.688375761342471</v>
      </c>
      <c r="AE92" s="85"/>
      <c r="AF92" s="60"/>
    </row>
    <row r="93" spans="1:33" ht="15" customHeight="1" x14ac:dyDescent="0.25">
      <c r="A93" s="68" t="s">
        <v>308</v>
      </c>
      <c r="B93" s="67">
        <v>8</v>
      </c>
      <c r="C93" s="67">
        <f t="shared" si="30"/>
        <v>22.8</v>
      </c>
      <c r="D93" s="67">
        <v>35.970603225806414</v>
      </c>
      <c r="E93" s="67">
        <v>50.41345878136196</v>
      </c>
      <c r="F93" s="67">
        <v>44.778947311827935</v>
      </c>
      <c r="G93" s="67">
        <v>41.013421983273588</v>
      </c>
      <c r="H93" s="67">
        <v>140.81321170848275</v>
      </c>
      <c r="I93" s="67">
        <v>143.84269617682185</v>
      </c>
      <c r="J93" s="67">
        <v>28.889650298685819</v>
      </c>
      <c r="K93" s="67">
        <v>157.40096308243722</v>
      </c>
      <c r="L93" s="67">
        <v>3.1255811230585353</v>
      </c>
      <c r="M93" s="67">
        <v>3.1125952210274841</v>
      </c>
      <c r="N93" s="67">
        <v>7.295707287933098</v>
      </c>
      <c r="O93" s="67">
        <v>19.357401672640382</v>
      </c>
      <c r="P93" s="67">
        <v>83.342959139785052</v>
      </c>
      <c r="Q93" s="67">
        <v>18.88538900836318</v>
      </c>
      <c r="R93" s="67">
        <v>122.41293655913971</v>
      </c>
      <c r="S93" s="67">
        <v>-1.9245997610513686E-2</v>
      </c>
      <c r="T93" s="67">
        <f t="shared" si="31"/>
        <v>-3.029484468339092</v>
      </c>
      <c r="U93" s="67">
        <f t="shared" si="32"/>
        <v>14.442855555555546</v>
      </c>
      <c r="V93" s="86">
        <f t="shared" si="33"/>
        <v>139.90694982078847</v>
      </c>
      <c r="W93" s="86">
        <f t="shared" si="34"/>
        <v>5985.7211389484528</v>
      </c>
      <c r="X93" s="86">
        <f t="shared" si="35"/>
        <v>142.3279539426523</v>
      </c>
      <c r="Y93" s="86">
        <f t="shared" si="36"/>
        <v>143.84269617682185</v>
      </c>
      <c r="Z93" s="86">
        <f t="shared" si="37"/>
        <v>-3951.6433911477425</v>
      </c>
      <c r="AA93" s="86">
        <f t="shared" si="38"/>
        <v>0.77771402513609222</v>
      </c>
      <c r="AB93" s="67">
        <f t="shared" si="39"/>
        <v>1060327.7446137259</v>
      </c>
      <c r="AC93" s="67">
        <f t="shared" si="40"/>
        <v>17526.154600715261</v>
      </c>
      <c r="AD93" s="87">
        <v>83.342959139785052</v>
      </c>
      <c r="AE93" s="85"/>
      <c r="AF93" s="60"/>
    </row>
    <row r="94" spans="1:33" ht="15" customHeight="1" x14ac:dyDescent="0.25">
      <c r="A94" s="68" t="s">
        <v>307</v>
      </c>
      <c r="B94" s="67">
        <v>10</v>
      </c>
      <c r="C94" s="67">
        <f t="shared" si="30"/>
        <v>28.5</v>
      </c>
      <c r="D94" s="67">
        <v>27.924602023809491</v>
      </c>
      <c r="E94" s="67">
        <v>33.200728333333352</v>
      </c>
      <c r="F94" s="67">
        <v>30.963293214285684</v>
      </c>
      <c r="G94" s="67">
        <v>27.204102976190502</v>
      </c>
      <c r="H94" s="67">
        <v>123.12110726190463</v>
      </c>
      <c r="I94" s="67">
        <v>126.87696214285715</v>
      </c>
      <c r="J94" s="67">
        <v>28.45923523809526</v>
      </c>
      <c r="K94" s="67">
        <v>70.464870000000019</v>
      </c>
      <c r="L94" s="67">
        <v>3.0219172619047607</v>
      </c>
      <c r="M94" s="67">
        <v>3.0077495238095246</v>
      </c>
      <c r="N94" s="67">
        <v>7.4864569047618952</v>
      </c>
      <c r="O94" s="67">
        <v>21.404130476190488</v>
      </c>
      <c r="P94" s="67"/>
      <c r="Q94" s="67">
        <v>20.884272738095241</v>
      </c>
      <c r="R94" s="67">
        <v>45.899489047618985</v>
      </c>
      <c r="S94" s="67">
        <v>-5.3302261904761936E-2</v>
      </c>
      <c r="T94" s="67">
        <f t="shared" si="31"/>
        <v>-3.7558548809525263</v>
      </c>
      <c r="U94" s="67">
        <f t="shared" si="32"/>
        <v>5.2761263095238604</v>
      </c>
      <c r="V94" s="86">
        <f t="shared" si="33"/>
        <v>58.182179523809502</v>
      </c>
      <c r="W94" s="86">
        <f t="shared" si="34"/>
        <v>2489.2423309339624</v>
      </c>
      <c r="X94" s="86">
        <f t="shared" si="35"/>
        <v>124.9990347023809</v>
      </c>
      <c r="Y94" s="86">
        <f t="shared" si="36"/>
        <v>126.87696214285715</v>
      </c>
      <c r="Z94" s="86">
        <f t="shared" si="37"/>
        <v>-1325.5263634161886</v>
      </c>
      <c r="AA94" s="86">
        <f t="shared" si="38"/>
        <v>0.6513811640838757</v>
      </c>
      <c r="AB94" s="67">
        <f t="shared" si="39"/>
        <v>440951.49862258753</v>
      </c>
      <c r="AC94" s="67">
        <f t="shared" si="40"/>
        <v>5387.2805594593792</v>
      </c>
      <c r="AD94" s="81">
        <v>45.026482340328066</v>
      </c>
      <c r="AE94" s="85"/>
      <c r="AF94" s="60"/>
    </row>
    <row r="95" spans="1:33" ht="15" customHeight="1" x14ac:dyDescent="0.25">
      <c r="A95" s="68" t="s">
        <v>306</v>
      </c>
      <c r="B95" s="67">
        <v>10</v>
      </c>
      <c r="C95" s="67">
        <f t="shared" si="30"/>
        <v>28.5</v>
      </c>
      <c r="D95" s="67">
        <v>30.886778890229245</v>
      </c>
      <c r="E95" s="67">
        <v>45.044489384800968</v>
      </c>
      <c r="F95" s="67">
        <v>38.831539445114601</v>
      </c>
      <c r="G95" s="67">
        <v>32.98979987937274</v>
      </c>
      <c r="H95" s="67">
        <v>146.60222702050677</v>
      </c>
      <c r="I95" s="67">
        <v>152.26346924004801</v>
      </c>
      <c r="J95" s="67">
        <v>25.664652110977062</v>
      </c>
      <c r="K95" s="67">
        <v>155.56897985524733</v>
      </c>
      <c r="L95" s="67">
        <v>3.0205447527141018</v>
      </c>
      <c r="M95" s="67">
        <v>3.0066518697225639</v>
      </c>
      <c r="N95" s="67">
        <v>7.4433290711700995</v>
      </c>
      <c r="O95" s="67">
        <v>18.37766453558503</v>
      </c>
      <c r="P95" s="67"/>
      <c r="Q95" s="67">
        <v>18.447995054282277</v>
      </c>
      <c r="R95" s="67">
        <v>122.43650410132675</v>
      </c>
      <c r="S95" s="67">
        <v>-3.6390470446320884E-2</v>
      </c>
      <c r="T95" s="67">
        <f t="shared" si="31"/>
        <v>-5.6612422195412364</v>
      </c>
      <c r="U95" s="67">
        <f t="shared" si="32"/>
        <v>14.157710494571724</v>
      </c>
      <c r="V95" s="86">
        <f t="shared" si="33"/>
        <v>139.00274197828705</v>
      </c>
      <c r="W95" s="86">
        <f t="shared" si="34"/>
        <v>5947.035884185937</v>
      </c>
      <c r="X95" s="86">
        <f t="shared" si="35"/>
        <v>149.43284813027739</v>
      </c>
      <c r="Y95" s="86">
        <f t="shared" si="36"/>
        <v>152.26346924004801</v>
      </c>
      <c r="Z95" s="86">
        <f t="shared" si="37"/>
        <v>-2100.9650015179391</v>
      </c>
      <c r="AA95" s="86">
        <f t="shared" si="38"/>
        <v>0.7870238926503893</v>
      </c>
      <c r="AB95" s="67">
        <f t="shared" si="39"/>
        <v>1053474.9280557944</v>
      </c>
      <c r="AC95" s="67">
        <f t="shared" si="40"/>
        <v>13447.9687939585</v>
      </c>
      <c r="AD95" s="81">
        <v>73.926365384700873</v>
      </c>
      <c r="AE95" s="85"/>
      <c r="AF95" s="60"/>
    </row>
    <row r="96" spans="1:33" ht="15" customHeight="1" x14ac:dyDescent="0.25">
      <c r="A96" s="68" t="s">
        <v>305</v>
      </c>
      <c r="B96" s="67">
        <v>15</v>
      </c>
      <c r="C96" s="67">
        <f t="shared" si="30"/>
        <v>42.8</v>
      </c>
      <c r="D96" s="67">
        <v>29.178619036144561</v>
      </c>
      <c r="E96" s="67">
        <v>34.580993132530139</v>
      </c>
      <c r="F96" s="67">
        <v>32.341934457831343</v>
      </c>
      <c r="G96" s="67">
        <v>28.459415903614424</v>
      </c>
      <c r="H96" s="67">
        <v>121.22277024096395</v>
      </c>
      <c r="I96" s="67">
        <v>122.232722771084</v>
      </c>
      <c r="J96" s="67">
        <v>29.244578915662622</v>
      </c>
      <c r="K96" s="67">
        <v>70.088177951807197</v>
      </c>
      <c r="L96" s="67">
        <v>3.041643012048191</v>
      </c>
      <c r="M96" s="67">
        <v>3.0276456626505976</v>
      </c>
      <c r="N96" s="67">
        <v>7.4747919277108279</v>
      </c>
      <c r="O96" s="67">
        <v>22.004174457831319</v>
      </c>
      <c r="P96" s="67"/>
      <c r="Q96" s="67">
        <v>21.685217108433736</v>
      </c>
      <c r="R96" s="67">
        <v>46.920992289156587</v>
      </c>
      <c r="S96" s="67">
        <v>-1.4410963855421687E-2</v>
      </c>
      <c r="T96" s="67">
        <f t="shared" si="31"/>
        <v>-1.0099525301200458</v>
      </c>
      <c r="U96" s="67">
        <f t="shared" si="32"/>
        <v>5.4023740963855786</v>
      </c>
      <c r="V96" s="86">
        <f t="shared" si="33"/>
        <v>58.504585120481892</v>
      </c>
      <c r="W96" s="86">
        <f t="shared" si="34"/>
        <v>2503.0359987809793</v>
      </c>
      <c r="X96" s="86">
        <f t="shared" si="35"/>
        <v>121.72774650602398</v>
      </c>
      <c r="Y96" s="86">
        <f t="shared" si="36"/>
        <v>122.232722771084</v>
      </c>
      <c r="Z96" s="86">
        <f t="shared" si="37"/>
        <v>-4956.7398944650622</v>
      </c>
      <c r="AA96" s="86">
        <f t="shared" si="38"/>
        <v>0.66945658540901976</v>
      </c>
      <c r="AB96" s="67">
        <f t="shared" si="39"/>
        <v>443394.94835548766</v>
      </c>
      <c r="AC96" s="67">
        <f t="shared" si="40"/>
        <v>5860.2253532207924</v>
      </c>
      <c r="AD96" s="81">
        <v>46.570965478457545</v>
      </c>
      <c r="AE96" s="85"/>
      <c r="AF96" s="60"/>
    </row>
    <row r="97" spans="1:32" ht="15" customHeight="1" x14ac:dyDescent="0.25">
      <c r="A97" s="68" t="s">
        <v>304</v>
      </c>
      <c r="B97" s="67">
        <v>15</v>
      </c>
      <c r="C97" s="67">
        <f t="shared" si="30"/>
        <v>42.8</v>
      </c>
      <c r="D97" s="67">
        <v>31.203971804062085</v>
      </c>
      <c r="E97" s="67">
        <v>45.187805973715655</v>
      </c>
      <c r="F97" s="67">
        <v>39.469486021505418</v>
      </c>
      <c r="G97" s="67">
        <v>33.613115173237794</v>
      </c>
      <c r="H97" s="67">
        <v>157.33788100358427</v>
      </c>
      <c r="I97" s="67">
        <v>160.66542520908001</v>
      </c>
      <c r="J97" s="67">
        <v>29.420443608124273</v>
      </c>
      <c r="K97" s="67">
        <v>152.55862066905615</v>
      </c>
      <c r="L97" s="67">
        <v>3.0419373954599647</v>
      </c>
      <c r="M97" s="67">
        <v>3.0283158900836282</v>
      </c>
      <c r="N97" s="67">
        <v>7.4242298685782435</v>
      </c>
      <c r="O97" s="67">
        <v>19.277170967741956</v>
      </c>
      <c r="P97" s="67"/>
      <c r="Q97" s="67">
        <v>18.649467861409804</v>
      </c>
      <c r="R97" s="67">
        <v>120.62095806451607</v>
      </c>
      <c r="S97" s="67">
        <v>-2.181003584229391E-2</v>
      </c>
      <c r="T97" s="67">
        <f t="shared" si="31"/>
        <v>-3.3275442054957409</v>
      </c>
      <c r="U97" s="67">
        <f t="shared" si="32"/>
        <v>13.983834169653569</v>
      </c>
      <c r="V97" s="86">
        <f t="shared" si="33"/>
        <v>136.58978936678611</v>
      </c>
      <c r="W97" s="86">
        <f t="shared" si="34"/>
        <v>5843.8011165604339</v>
      </c>
      <c r="X97" s="86">
        <f t="shared" si="35"/>
        <v>159.00165310633213</v>
      </c>
      <c r="Y97" s="86">
        <f t="shared" si="36"/>
        <v>160.66542520908001</v>
      </c>
      <c r="Z97" s="86">
        <f t="shared" si="37"/>
        <v>-3512.3807562999864</v>
      </c>
      <c r="AA97" s="86">
        <f t="shared" si="38"/>
        <v>0.79065317669709323</v>
      </c>
      <c r="AB97" s="67">
        <f t="shared" si="39"/>
        <v>1035187.6263621339</v>
      </c>
      <c r="AC97" s="67">
        <f t="shared" si="40"/>
        <v>11897.483169266525</v>
      </c>
      <c r="AD97" s="81">
        <v>73.656466117948739</v>
      </c>
      <c r="AE97" s="85"/>
    </row>
    <row r="98" spans="1:32" ht="15" customHeight="1" x14ac:dyDescent="0.25">
      <c r="A98" s="68" t="s">
        <v>303</v>
      </c>
      <c r="B98" s="67">
        <v>20</v>
      </c>
      <c r="C98" s="67">
        <f t="shared" si="30"/>
        <v>57</v>
      </c>
      <c r="D98" s="67">
        <v>25.480606954436428</v>
      </c>
      <c r="E98" s="67">
        <v>30.249497482014416</v>
      </c>
      <c r="F98" s="67">
        <v>27.649867266187062</v>
      </c>
      <c r="G98" s="67">
        <v>25.245868105515619</v>
      </c>
      <c r="H98" s="67">
        <v>143.07342745803354</v>
      </c>
      <c r="I98" s="67">
        <v>112.03731438848926</v>
      </c>
      <c r="J98" s="67">
        <v>25.592660311750588</v>
      </c>
      <c r="K98" s="67">
        <v>70.75905887290169</v>
      </c>
      <c r="L98" s="67">
        <v>3.0331304556354928</v>
      </c>
      <c r="M98" s="67">
        <v>3.0190465227817751</v>
      </c>
      <c r="N98" s="67">
        <v>7.5558129496402726</v>
      </c>
      <c r="O98" s="67">
        <v>17.741158513189461</v>
      </c>
      <c r="P98" s="67"/>
      <c r="Q98" s="67">
        <v>17.729701438848924</v>
      </c>
      <c r="R98" s="67">
        <v>41.879186091127089</v>
      </c>
      <c r="S98" s="67">
        <v>0.43862577937649899</v>
      </c>
      <c r="T98" s="67">
        <f t="shared" si="31"/>
        <v>31.036113069544271</v>
      </c>
      <c r="U98" s="67">
        <f t="shared" si="32"/>
        <v>4.7688905275779874</v>
      </c>
      <c r="V98" s="86">
        <f t="shared" si="33"/>
        <v>56.319122482014393</v>
      </c>
      <c r="W98" s="86">
        <f t="shared" si="34"/>
        <v>2409.5340681748612</v>
      </c>
      <c r="X98" s="86">
        <f t="shared" si="35"/>
        <v>127.55537092326139</v>
      </c>
      <c r="Y98" s="86">
        <f t="shared" si="36"/>
        <v>112.03731438848926</v>
      </c>
      <c r="Z98" s="86">
        <f t="shared" si="37"/>
        <v>155.27292755865989</v>
      </c>
      <c r="AA98" s="86">
        <f t="shared" si="38"/>
        <v>0.59185617726135964</v>
      </c>
      <c r="AB98" s="67">
        <f t="shared" si="39"/>
        <v>426831.74921954679</v>
      </c>
      <c r="AC98" s="67">
        <f t="shared" si="40"/>
        <v>6027.9076599531536</v>
      </c>
      <c r="AD98" s="83">
        <v>41.2280430296669</v>
      </c>
      <c r="AE98" s="85"/>
    </row>
    <row r="99" spans="1:32" ht="15" customHeight="1" x14ac:dyDescent="0.25">
      <c r="A99" s="68" t="s">
        <v>302</v>
      </c>
      <c r="B99" s="67">
        <v>20</v>
      </c>
      <c r="C99" s="67">
        <f t="shared" si="30"/>
        <v>57</v>
      </c>
      <c r="D99" s="67">
        <v>33.011367583732095</v>
      </c>
      <c r="E99" s="67">
        <v>46.437253349282294</v>
      </c>
      <c r="F99" s="67">
        <v>41.435504066985644</v>
      </c>
      <c r="G99" s="67">
        <v>35.213391267942605</v>
      </c>
      <c r="H99" s="67">
        <v>194.27042320574154</v>
      </c>
      <c r="I99" s="67">
        <v>197.63730346889935</v>
      </c>
      <c r="J99" s="67">
        <v>33.986115789473722</v>
      </c>
      <c r="K99" s="67">
        <v>156.83871244019139</v>
      </c>
      <c r="L99" s="67">
        <v>3.0712637559808522</v>
      </c>
      <c r="M99" s="67">
        <v>3.0578516746411442</v>
      </c>
      <c r="N99" s="67">
        <v>7.4228794258373316</v>
      </c>
      <c r="O99" s="67">
        <v>21.763028947368436</v>
      </c>
      <c r="P99" s="67"/>
      <c r="Q99" s="67">
        <v>20.992508612440179</v>
      </c>
      <c r="R99" s="67">
        <v>115.78112344497602</v>
      </c>
      <c r="S99" s="67">
        <v>-2.1465789473684188E-2</v>
      </c>
      <c r="T99" s="67">
        <f t="shared" si="31"/>
        <v>-3.3668802631578103</v>
      </c>
      <c r="U99" s="67">
        <f t="shared" si="32"/>
        <v>13.425885765550198</v>
      </c>
      <c r="V99" s="86">
        <f t="shared" si="33"/>
        <v>136.3099179425837</v>
      </c>
      <c r="W99" s="86">
        <f t="shared" si="34"/>
        <v>5831.827213175492</v>
      </c>
      <c r="X99" s="86">
        <f t="shared" si="35"/>
        <v>195.95386333732046</v>
      </c>
      <c r="Y99" s="86">
        <f t="shared" si="36"/>
        <v>197.63730346889935</v>
      </c>
      <c r="Z99" s="86">
        <f t="shared" si="37"/>
        <v>-3464.2320233306114</v>
      </c>
      <c r="AA99" s="86">
        <f t="shared" si="38"/>
        <v>0.7382177629718033</v>
      </c>
      <c r="AB99" s="67">
        <f t="shared" si="39"/>
        <v>1033066.5349053728</v>
      </c>
      <c r="AC99" s="67">
        <f t="shared" si="40"/>
        <v>8331.6051126272505</v>
      </c>
      <c r="AD99" s="81">
        <v>73.643604662930571</v>
      </c>
      <c r="AE99" s="85"/>
    </row>
    <row r="100" spans="1:32" ht="15" customHeight="1" x14ac:dyDescent="0.25">
      <c r="A100" s="174" t="s">
        <v>301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</row>
    <row r="101" spans="1:32" ht="15" customHeight="1" x14ac:dyDescent="0.35">
      <c r="A101" s="71" t="s">
        <v>240</v>
      </c>
      <c r="B101" s="71" t="s">
        <v>195</v>
      </c>
      <c r="C101" s="71" t="s">
        <v>239</v>
      </c>
      <c r="D101" s="71" t="s">
        <v>238</v>
      </c>
      <c r="E101" s="71" t="s">
        <v>237</v>
      </c>
      <c r="F101" s="71" t="s">
        <v>236</v>
      </c>
      <c r="G101" s="71" t="s">
        <v>235</v>
      </c>
      <c r="H101" s="71" t="s">
        <v>234</v>
      </c>
      <c r="I101" s="71" t="s">
        <v>233</v>
      </c>
      <c r="J101" s="71" t="s">
        <v>232</v>
      </c>
      <c r="K101" s="71" t="s">
        <v>231</v>
      </c>
      <c r="L101" s="71" t="s">
        <v>230</v>
      </c>
      <c r="M101" s="71" t="s">
        <v>229</v>
      </c>
      <c r="N101" s="71" t="s">
        <v>228</v>
      </c>
      <c r="O101" s="71" t="s">
        <v>227</v>
      </c>
      <c r="P101" s="71" t="s">
        <v>226</v>
      </c>
      <c r="Q101" s="71" t="s">
        <v>225</v>
      </c>
      <c r="R101" s="71" t="s">
        <v>224</v>
      </c>
      <c r="S101" s="71" t="s">
        <v>223</v>
      </c>
      <c r="T101" s="69" t="s">
        <v>222</v>
      </c>
      <c r="U101" s="69" t="s">
        <v>221</v>
      </c>
      <c r="V101" s="69" t="s">
        <v>220</v>
      </c>
      <c r="W101" s="69" t="s">
        <v>219</v>
      </c>
      <c r="X101" s="69" t="s">
        <v>218</v>
      </c>
      <c r="Y101" s="69" t="s">
        <v>217</v>
      </c>
      <c r="Z101" s="69" t="s">
        <v>216</v>
      </c>
      <c r="AA101" s="73" t="s">
        <v>215</v>
      </c>
      <c r="AB101" s="69" t="s">
        <v>214</v>
      </c>
      <c r="AC101" s="69" t="s">
        <v>213</v>
      </c>
      <c r="AD101" s="69" t="s">
        <v>212</v>
      </c>
      <c r="AF101" s="80"/>
    </row>
    <row r="102" spans="1:32" ht="15" customHeight="1" x14ac:dyDescent="0.25">
      <c r="A102" s="72"/>
      <c r="B102" s="71" t="s">
        <v>211</v>
      </c>
      <c r="C102" s="71" t="s">
        <v>210</v>
      </c>
      <c r="D102" s="71" t="s">
        <v>204</v>
      </c>
      <c r="E102" s="71" t="s">
        <v>204</v>
      </c>
      <c r="F102" s="71" t="s">
        <v>204</v>
      </c>
      <c r="G102" s="71" t="s">
        <v>204</v>
      </c>
      <c r="H102" s="71" t="s">
        <v>204</v>
      </c>
      <c r="I102" s="71" t="s">
        <v>204</v>
      </c>
      <c r="J102" s="71" t="s">
        <v>204</v>
      </c>
      <c r="K102" s="71" t="s">
        <v>206</v>
      </c>
      <c r="L102" s="71" t="s">
        <v>209</v>
      </c>
      <c r="M102" s="71" t="s">
        <v>209</v>
      </c>
      <c r="N102" s="71" t="s">
        <v>208</v>
      </c>
      <c r="O102" s="71" t="s">
        <v>204</v>
      </c>
      <c r="P102" s="71" t="s">
        <v>204</v>
      </c>
      <c r="Q102" s="71" t="s">
        <v>204</v>
      </c>
      <c r="R102" s="71" t="s">
        <v>206</v>
      </c>
      <c r="S102" s="71" t="s">
        <v>207</v>
      </c>
      <c r="T102" s="69" t="s">
        <v>204</v>
      </c>
      <c r="U102" s="69" t="s">
        <v>204</v>
      </c>
      <c r="V102" s="69" t="s">
        <v>206</v>
      </c>
      <c r="W102" s="69" t="s">
        <v>4</v>
      </c>
      <c r="X102" s="69" t="s">
        <v>204</v>
      </c>
      <c r="Y102" s="69" t="s">
        <v>204</v>
      </c>
      <c r="Z102" s="69" t="s">
        <v>205</v>
      </c>
      <c r="AA102" s="70"/>
      <c r="AB102" s="69" t="s">
        <v>4</v>
      </c>
      <c r="AC102" s="69" t="s">
        <v>205</v>
      </c>
      <c r="AD102" s="69" t="s">
        <v>204</v>
      </c>
      <c r="AF102" s="80"/>
    </row>
    <row r="103" spans="1:32" ht="15" customHeight="1" x14ac:dyDescent="0.25">
      <c r="A103" s="68" t="s">
        <v>300</v>
      </c>
      <c r="B103" s="67">
        <v>10</v>
      </c>
      <c r="C103" s="67">
        <f t="shared" ref="C103:C114" si="41">ROUND(((B103/1000)/(9*PI()*1240))*10^8,1)</f>
        <v>28.5</v>
      </c>
      <c r="D103" s="67">
        <v>30.453646778042945</v>
      </c>
      <c r="E103" s="67">
        <v>36.66113818615753</v>
      </c>
      <c r="F103" s="67">
        <v>33.67487553699285</v>
      </c>
      <c r="G103" s="67">
        <v>30.622746778042924</v>
      </c>
      <c r="H103" s="67">
        <v>97.687936634844931</v>
      </c>
      <c r="I103" s="67">
        <v>94.932884009546541</v>
      </c>
      <c r="J103" s="67">
        <v>27.751671957040536</v>
      </c>
      <c r="K103" s="67">
        <v>70.464265274463017</v>
      </c>
      <c r="L103" s="67">
        <v>3.0406457040572792</v>
      </c>
      <c r="M103" s="67">
        <v>3.0275939140811388</v>
      </c>
      <c r="N103" s="67">
        <v>7.3943741050119511</v>
      </c>
      <c r="O103" s="67">
        <v>21.881185680190939</v>
      </c>
      <c r="P103" s="67">
        <v>22.134370167064432</v>
      </c>
      <c r="Q103" s="67">
        <v>21.456532338902129</v>
      </c>
      <c r="R103" s="67">
        <v>53.330477684964258</v>
      </c>
      <c r="S103" s="67">
        <v>3.9099522673031031E-2</v>
      </c>
      <c r="T103" s="67">
        <f t="shared" ref="T103:T114" si="42">H103-I103</f>
        <v>2.75505262529839</v>
      </c>
      <c r="U103" s="67">
        <f t="shared" ref="U103:U114" si="43">E103-D103</f>
        <v>6.2074914081145849</v>
      </c>
      <c r="V103" s="67">
        <f t="shared" ref="V103:V114" si="44">(K103+R103)/2</f>
        <v>61.897371479713641</v>
      </c>
      <c r="W103" s="67">
        <f t="shared" ref="W103:W114" si="45">V103/(PI()*0.006*1.24)</f>
        <v>2648.1915686536909</v>
      </c>
      <c r="X103" s="67">
        <f t="shared" ref="X103:X114" si="46">(I103+H103)/2</f>
        <v>96.310410322195736</v>
      </c>
      <c r="Y103" s="67">
        <f t="shared" ref="Y103:Y114" si="47">I103</f>
        <v>94.932884009546541</v>
      </c>
      <c r="Z103" s="67">
        <f t="shared" ref="Z103:Z114" si="48">W103/(X103-I103)</f>
        <v>1922.4253971314793</v>
      </c>
      <c r="AA103" s="67">
        <f t="shared" ref="AA103:AA114" si="49">R103/K103</f>
        <v>0.75684430224651444</v>
      </c>
      <c r="AB103" s="67">
        <f t="shared" ref="AB103:AB114" si="50">V103/(PI()*0.006*0.007)</f>
        <v>469108.22073293949</v>
      </c>
      <c r="AC103" s="67">
        <f t="shared" ref="AC103:AC114" si="51">AB103/(I103-AD103)</f>
        <v>10470.508457617718</v>
      </c>
      <c r="AD103" s="83">
        <v>50.130072127794577</v>
      </c>
    </row>
    <row r="104" spans="1:32" ht="15" customHeight="1" x14ac:dyDescent="0.25">
      <c r="A104" s="68" t="s">
        <v>299</v>
      </c>
      <c r="B104" s="67">
        <v>10</v>
      </c>
      <c r="C104" s="67">
        <f t="shared" si="41"/>
        <v>28.5</v>
      </c>
      <c r="D104" s="67">
        <v>35.483900000000006</v>
      </c>
      <c r="E104" s="67">
        <v>50.208465347721813</v>
      </c>
      <c r="F104" s="67">
        <v>44.193702757793744</v>
      </c>
      <c r="G104" s="67">
        <v>38.894958992805748</v>
      </c>
      <c r="H104" s="67">
        <v>130.15356846522783</v>
      </c>
      <c r="I104" s="67">
        <v>130.08013908872897</v>
      </c>
      <c r="J104" s="67">
        <v>29.907752398081513</v>
      </c>
      <c r="K104" s="67">
        <v>154.74348165467623</v>
      </c>
      <c r="L104" s="67">
        <v>3.0345585131894564</v>
      </c>
      <c r="M104" s="67">
        <v>3.0216074340527577</v>
      </c>
      <c r="N104" s="67">
        <v>7.4769836930455504</v>
      </c>
      <c r="O104" s="67">
        <v>21.904330935251799</v>
      </c>
      <c r="P104" s="67">
        <v>22.33909508393284</v>
      </c>
      <c r="Q104" s="67">
        <v>21.206632254196649</v>
      </c>
      <c r="R104" s="67">
        <v>127.90281151079138</v>
      </c>
      <c r="S104" s="67">
        <v>4.7434052757793806E-4</v>
      </c>
      <c r="T104" s="67">
        <f t="shared" si="42"/>
        <v>7.342937649886494E-2</v>
      </c>
      <c r="U104" s="67">
        <f t="shared" si="43"/>
        <v>14.724565347721807</v>
      </c>
      <c r="V104" s="67">
        <f t="shared" si="44"/>
        <v>141.32314658273381</v>
      </c>
      <c r="W104" s="67">
        <f t="shared" si="45"/>
        <v>6046.3111161135976</v>
      </c>
      <c r="X104" s="67">
        <f t="shared" si="46"/>
        <v>130.11685377697842</v>
      </c>
      <c r="Y104" s="67">
        <f t="shared" si="47"/>
        <v>130.08013908872897</v>
      </c>
      <c r="Z104" s="67">
        <f t="shared" si="48"/>
        <v>164683.71119029509</v>
      </c>
      <c r="AA104" s="67">
        <f t="shared" si="49"/>
        <v>0.82654732944562936</v>
      </c>
      <c r="AB104" s="67">
        <f t="shared" si="50"/>
        <v>1071060.8262829799</v>
      </c>
      <c r="AC104" s="67">
        <f t="shared" si="51"/>
        <v>21219.427452895223</v>
      </c>
      <c r="AD104" s="83">
        <v>79.604657190802357</v>
      </c>
    </row>
    <row r="105" spans="1:32" ht="15" customHeight="1" x14ac:dyDescent="0.25">
      <c r="A105" s="68" t="s">
        <v>298</v>
      </c>
      <c r="B105" s="67">
        <v>10</v>
      </c>
      <c r="C105" s="67">
        <f t="shared" si="41"/>
        <v>28.5</v>
      </c>
      <c r="D105" s="67">
        <v>28.012850900360117</v>
      </c>
      <c r="E105" s="67">
        <v>33.185664585834317</v>
      </c>
      <c r="F105" s="67">
        <v>30.490197358943586</v>
      </c>
      <c r="G105" s="67">
        <v>27.788029651860786</v>
      </c>
      <c r="H105" s="67">
        <v>140.79765726290512</v>
      </c>
      <c r="I105" s="67">
        <v>140.28807755102048</v>
      </c>
      <c r="J105" s="67">
        <v>28.262944537815102</v>
      </c>
      <c r="K105" s="67">
        <v>70.512448859543838</v>
      </c>
      <c r="L105" s="67">
        <v>3.0520837935174141</v>
      </c>
      <c r="M105" s="67">
        <v>3.0390181272509031</v>
      </c>
      <c r="N105" s="67">
        <v>7.509194597839139</v>
      </c>
      <c r="O105" s="67">
        <v>20.493753061224478</v>
      </c>
      <c r="P105" s="67">
        <v>20.869193397358945</v>
      </c>
      <c r="Q105" s="67">
        <v>19.628195798319339</v>
      </c>
      <c r="R105" s="67">
        <v>45.136992196878701</v>
      </c>
      <c r="S105" s="67">
        <v>7.2276110444177673E-3</v>
      </c>
      <c r="T105" s="67">
        <f t="shared" si="42"/>
        <v>0.50957971188464057</v>
      </c>
      <c r="U105" s="67">
        <f t="shared" si="43"/>
        <v>5.1728136854741997</v>
      </c>
      <c r="V105" s="67">
        <f t="shared" si="44"/>
        <v>57.824720528211273</v>
      </c>
      <c r="W105" s="67">
        <f t="shared" si="45"/>
        <v>2473.9489529495208</v>
      </c>
      <c r="X105" s="67">
        <f t="shared" si="46"/>
        <v>140.54286740696278</v>
      </c>
      <c r="Y105" s="67">
        <f t="shared" si="47"/>
        <v>140.28807755102048</v>
      </c>
      <c r="Z105" s="67">
        <f t="shared" si="48"/>
        <v>9709.7623600435454</v>
      </c>
      <c r="AA105" s="67">
        <f t="shared" si="49"/>
        <v>0.64012799054516778</v>
      </c>
      <c r="AB105" s="67">
        <f t="shared" si="50"/>
        <v>438242.38595105789</v>
      </c>
      <c r="AC105" s="67">
        <f t="shared" si="51"/>
        <v>4589.9862836535622</v>
      </c>
      <c r="AD105" s="83">
        <v>44.810148235244093</v>
      </c>
    </row>
    <row r="106" spans="1:32" ht="15" customHeight="1" x14ac:dyDescent="0.25">
      <c r="A106" s="68" t="s">
        <v>297</v>
      </c>
      <c r="B106" s="67">
        <v>10</v>
      </c>
      <c r="C106" s="67">
        <f t="shared" si="41"/>
        <v>28.5</v>
      </c>
      <c r="D106" s="67">
        <v>33.607626650943367</v>
      </c>
      <c r="E106" s="67">
        <v>48.105173113207513</v>
      </c>
      <c r="F106" s="67">
        <v>42.158854363207539</v>
      </c>
      <c r="G106" s="67">
        <v>36.884764740566048</v>
      </c>
      <c r="H106" s="67">
        <v>159.31306509433955</v>
      </c>
      <c r="I106" s="67">
        <v>160.7349112028302</v>
      </c>
      <c r="J106" s="67">
        <v>29.730656249999981</v>
      </c>
      <c r="K106" s="67">
        <v>156.84709964622655</v>
      </c>
      <c r="L106" s="67">
        <v>3.0783510613207539</v>
      </c>
      <c r="M106" s="67">
        <v>3.0655566037735862</v>
      </c>
      <c r="N106" s="67">
        <v>7.3323536556603823</v>
      </c>
      <c r="O106" s="67">
        <v>19.040767452830202</v>
      </c>
      <c r="P106" s="67">
        <v>19.362327476415082</v>
      </c>
      <c r="Q106" s="67">
        <v>18.656900353773597</v>
      </c>
      <c r="R106" s="67">
        <v>123.49642110849058</v>
      </c>
      <c r="S106" s="67">
        <v>-9.0665094339622745E-3</v>
      </c>
      <c r="T106" s="67">
        <f t="shared" si="42"/>
        <v>-1.4218461084906551</v>
      </c>
      <c r="U106" s="67">
        <f t="shared" si="43"/>
        <v>14.497546462264147</v>
      </c>
      <c r="V106" s="67">
        <f t="shared" si="44"/>
        <v>140.17176037735857</v>
      </c>
      <c r="W106" s="67">
        <f t="shared" si="45"/>
        <v>5997.0506843949715</v>
      </c>
      <c r="X106" s="67">
        <f t="shared" si="46"/>
        <v>160.02398814858486</v>
      </c>
      <c r="Y106" s="67">
        <f t="shared" si="47"/>
        <v>160.7349112028302</v>
      </c>
      <c r="Z106" s="67">
        <f t="shared" si="48"/>
        <v>-8435.5833568528087</v>
      </c>
      <c r="AA106" s="67">
        <f t="shared" si="49"/>
        <v>0.78736821647987465</v>
      </c>
      <c r="AB106" s="67">
        <f t="shared" si="50"/>
        <v>1062334.6926642519</v>
      </c>
      <c r="AC106" s="67">
        <f t="shared" si="51"/>
        <v>12676.936301566093</v>
      </c>
      <c r="AD106" s="83">
        <v>76.934325052293786</v>
      </c>
    </row>
    <row r="107" spans="1:32" ht="15" customHeight="1" x14ac:dyDescent="0.25">
      <c r="A107" s="68" t="s">
        <v>296</v>
      </c>
      <c r="B107" s="67">
        <v>10</v>
      </c>
      <c r="C107" s="67">
        <f t="shared" si="41"/>
        <v>28.5</v>
      </c>
      <c r="D107" s="67">
        <v>30.428231818181832</v>
      </c>
      <c r="E107" s="67">
        <v>36.086106339712906</v>
      </c>
      <c r="F107" s="67">
        <v>33.20834892344498</v>
      </c>
      <c r="G107" s="67">
        <v>30.3737577751196</v>
      </c>
      <c r="H107" s="67">
        <v>113.07884928229689</v>
      </c>
      <c r="I107" s="67">
        <v>113.4804400717704</v>
      </c>
      <c r="J107" s="67">
        <v>28.101213755980847</v>
      </c>
      <c r="K107" s="67">
        <v>70.400568540669923</v>
      </c>
      <c r="L107" s="67">
        <v>3.0554703349282177</v>
      </c>
      <c r="M107" s="67">
        <v>3.0420717703349287</v>
      </c>
      <c r="N107" s="67">
        <v>7.5993319377990369</v>
      </c>
      <c r="O107" s="67">
        <v>21.581430861244062</v>
      </c>
      <c r="P107" s="67">
        <v>21.890964114832549</v>
      </c>
      <c r="Q107" s="67">
        <v>21.316880382775093</v>
      </c>
      <c r="R107" s="67">
        <v>49.955966148325381</v>
      </c>
      <c r="S107" s="67">
        <v>-5.7057416267942652E-3</v>
      </c>
      <c r="T107" s="67">
        <f t="shared" si="42"/>
        <v>-0.40159078947351645</v>
      </c>
      <c r="U107" s="67">
        <f t="shared" si="43"/>
        <v>5.657874521531074</v>
      </c>
      <c r="V107" s="67">
        <f t="shared" si="44"/>
        <v>60.178267344497655</v>
      </c>
      <c r="W107" s="67">
        <f t="shared" si="45"/>
        <v>2574.6421275759108</v>
      </c>
      <c r="X107" s="67">
        <f t="shared" si="46"/>
        <v>113.27964467703364</v>
      </c>
      <c r="Y107" s="67">
        <f t="shared" si="47"/>
        <v>113.4804400717704</v>
      </c>
      <c r="Z107" s="67">
        <f t="shared" si="48"/>
        <v>-12822.217018230194</v>
      </c>
      <c r="AA107" s="67">
        <f t="shared" si="49"/>
        <v>0.70959606127990515</v>
      </c>
      <c r="AB107" s="67">
        <f t="shared" si="50"/>
        <v>456079.46259916126</v>
      </c>
      <c r="AC107" s="67">
        <f t="shared" si="51"/>
        <v>7036.8643923630934</v>
      </c>
      <c r="AD107" s="81">
        <v>48.667557917308088</v>
      </c>
    </row>
    <row r="108" spans="1:32" ht="15" customHeight="1" x14ac:dyDescent="0.25">
      <c r="A108" s="68" t="s">
        <v>295</v>
      </c>
      <c r="B108" s="67">
        <v>10</v>
      </c>
      <c r="C108" s="67">
        <f t="shared" si="41"/>
        <v>28.5</v>
      </c>
      <c r="D108" s="67">
        <v>36.936938663484462</v>
      </c>
      <c r="E108" s="67">
        <v>52.104152983293559</v>
      </c>
      <c r="F108" s="67">
        <v>45.802179474940409</v>
      </c>
      <c r="G108" s="67">
        <v>40.256121479713535</v>
      </c>
      <c r="H108" s="67">
        <v>140.89172112171838</v>
      </c>
      <c r="I108" s="67">
        <v>141.43216396181381</v>
      </c>
      <c r="J108" s="67">
        <v>31.178155011933189</v>
      </c>
      <c r="K108" s="67">
        <v>155.16844713603811</v>
      </c>
      <c r="L108" s="67">
        <v>3.0645132458233793</v>
      </c>
      <c r="M108" s="67">
        <v>3.0515713603818599</v>
      </c>
      <c r="N108" s="67">
        <v>7.3144384248209962</v>
      </c>
      <c r="O108" s="67">
        <v>22.682153102625271</v>
      </c>
      <c r="P108" s="67">
        <v>23.12311885441531</v>
      </c>
      <c r="Q108" s="67">
        <v>22.252044868735055</v>
      </c>
      <c r="R108" s="67">
        <v>128.88339570405728</v>
      </c>
      <c r="S108" s="67">
        <v>-3.483174224343672E-3</v>
      </c>
      <c r="T108" s="67">
        <f t="shared" si="42"/>
        <v>-0.5404428400954373</v>
      </c>
      <c r="U108" s="67">
        <f t="shared" si="43"/>
        <v>15.167214319809098</v>
      </c>
      <c r="V108" s="67">
        <f t="shared" si="44"/>
        <v>142.02592142004769</v>
      </c>
      <c r="W108" s="67">
        <f t="shared" si="45"/>
        <v>6076.3783444036799</v>
      </c>
      <c r="X108" s="67">
        <f t="shared" si="46"/>
        <v>141.16194254176611</v>
      </c>
      <c r="Y108" s="67">
        <f t="shared" si="47"/>
        <v>141.43216396181381</v>
      </c>
      <c r="Z108" s="67">
        <f t="shared" si="48"/>
        <v>-22486.664244940192</v>
      </c>
      <c r="AA108" s="67">
        <f t="shared" si="49"/>
        <v>0.83060311605144566</v>
      </c>
      <c r="AB108" s="67">
        <f t="shared" si="50"/>
        <v>1076387.0210086517</v>
      </c>
      <c r="AC108" s="67">
        <f t="shared" si="51"/>
        <v>18002.963849358646</v>
      </c>
      <c r="AD108" s="81">
        <v>81.642729843331267</v>
      </c>
    </row>
    <row r="109" spans="1:32" ht="15" customHeight="1" x14ac:dyDescent="0.25">
      <c r="A109" s="68" t="s">
        <v>294</v>
      </c>
      <c r="B109" s="67">
        <v>5</v>
      </c>
      <c r="C109" s="67">
        <f t="shared" si="41"/>
        <v>14.3</v>
      </c>
      <c r="D109" s="67">
        <v>30.946409080047772</v>
      </c>
      <c r="E109" s="67">
        <v>37.100230346475499</v>
      </c>
      <c r="F109" s="67">
        <v>34.163435603345256</v>
      </c>
      <c r="G109" s="67">
        <v>31.188139784946266</v>
      </c>
      <c r="H109" s="67">
        <v>95.503326762246161</v>
      </c>
      <c r="I109" s="67">
        <v>92.179916487455202</v>
      </c>
      <c r="J109" s="67">
        <v>26.958363082437295</v>
      </c>
      <c r="K109" s="67">
        <v>70.569635483870954</v>
      </c>
      <c r="L109" s="67">
        <v>3.0133918757467288</v>
      </c>
      <c r="M109" s="67">
        <v>3.0000330943847064</v>
      </c>
      <c r="N109" s="67">
        <v>7.4926105137395496</v>
      </c>
      <c r="O109" s="67">
        <v>22.063288410991674</v>
      </c>
      <c r="P109" s="67">
        <v>22.418489247311861</v>
      </c>
      <c r="Q109" s="67">
        <v>21.797418279569872</v>
      </c>
      <c r="R109" s="67">
        <v>53.57080788530461</v>
      </c>
      <c r="S109" s="67">
        <v>4.7095101553166055E-2</v>
      </c>
      <c r="T109" s="67">
        <f t="shared" si="42"/>
        <v>3.3234102747909589</v>
      </c>
      <c r="U109" s="67">
        <f t="shared" si="43"/>
        <v>6.1538212664277268</v>
      </c>
      <c r="V109" s="67">
        <f t="shared" si="44"/>
        <v>62.070221684587779</v>
      </c>
      <c r="W109" s="67">
        <f t="shared" si="45"/>
        <v>2655.5867204064239</v>
      </c>
      <c r="X109" s="67">
        <f t="shared" si="46"/>
        <v>93.841621624850688</v>
      </c>
      <c r="Y109" s="67">
        <f t="shared" si="47"/>
        <v>92.179916487455202</v>
      </c>
      <c r="Z109" s="67">
        <f t="shared" si="48"/>
        <v>1598.1094723993701</v>
      </c>
      <c r="AA109" s="67">
        <f t="shared" si="49"/>
        <v>0.75911980440296434</v>
      </c>
      <c r="AB109" s="67">
        <f t="shared" si="50"/>
        <v>470418.21904342354</v>
      </c>
      <c r="AC109" s="67">
        <f t="shared" si="51"/>
        <v>11299.171150044858</v>
      </c>
      <c r="AD109" s="81">
        <v>50.546931837819557</v>
      </c>
    </row>
    <row r="110" spans="1:32" ht="15" customHeight="1" x14ac:dyDescent="0.25">
      <c r="A110" s="68" t="s">
        <v>293</v>
      </c>
      <c r="B110" s="67">
        <v>5</v>
      </c>
      <c r="C110" s="67">
        <f t="shared" si="41"/>
        <v>14.3</v>
      </c>
      <c r="D110" s="67">
        <v>38.256755222088799</v>
      </c>
      <c r="E110" s="67">
        <v>53.743176230492281</v>
      </c>
      <c r="F110" s="67">
        <v>47.631363025210078</v>
      </c>
      <c r="G110" s="67">
        <v>41.804222569027601</v>
      </c>
      <c r="H110" s="67">
        <v>125.11243733493384</v>
      </c>
      <c r="I110" s="67">
        <v>125.18402989195677</v>
      </c>
      <c r="J110" s="67">
        <v>32.169444537815139</v>
      </c>
      <c r="K110" s="67">
        <v>156.10537923169258</v>
      </c>
      <c r="L110" s="67">
        <v>3.0572235294117394</v>
      </c>
      <c r="M110" s="67">
        <v>3.0442085234093597</v>
      </c>
      <c r="N110" s="67">
        <v>7.2950187274909979</v>
      </c>
      <c r="O110" s="67">
        <v>24.084565426170464</v>
      </c>
      <c r="P110" s="67">
        <v>24.827758343337322</v>
      </c>
      <c r="Q110" s="67">
        <v>23.6719420168067</v>
      </c>
      <c r="R110" s="67">
        <v>131.2480920768308</v>
      </c>
      <c r="S110" s="67">
        <v>-4.589435774309729E-4</v>
      </c>
      <c r="T110" s="67">
        <f t="shared" si="42"/>
        <v>-7.1592557022924552E-2</v>
      </c>
      <c r="U110" s="67">
        <f t="shared" si="43"/>
        <v>15.486421008403482</v>
      </c>
      <c r="V110" s="67">
        <f t="shared" si="44"/>
        <v>143.67673565426168</v>
      </c>
      <c r="W110" s="67">
        <f t="shared" si="45"/>
        <v>6147.0060985707814</v>
      </c>
      <c r="X110" s="67">
        <f t="shared" si="46"/>
        <v>125.14823361344531</v>
      </c>
      <c r="Y110" s="67">
        <f t="shared" si="47"/>
        <v>125.18402989195677</v>
      </c>
      <c r="Z110" s="67">
        <f t="shared" si="48"/>
        <v>-171721.93183723491</v>
      </c>
      <c r="AA110" s="67">
        <f t="shared" si="49"/>
        <v>0.84076597951202925</v>
      </c>
      <c r="AB110" s="67">
        <f t="shared" si="50"/>
        <v>1088898.2231753955</v>
      </c>
      <c r="AC110" s="67">
        <f t="shared" si="51"/>
        <v>26196.921504701251</v>
      </c>
      <c r="AD110" s="81">
        <v>83.618145023386091</v>
      </c>
    </row>
    <row r="111" spans="1:32" ht="15" customHeight="1" x14ac:dyDescent="0.25">
      <c r="A111" s="68" t="s">
        <v>292</v>
      </c>
      <c r="B111" s="67">
        <v>5</v>
      </c>
      <c r="C111" s="67">
        <f t="shared" si="41"/>
        <v>14.3</v>
      </c>
      <c r="D111" s="67">
        <v>31.812917323775348</v>
      </c>
      <c r="E111" s="67">
        <v>38.08586893667858</v>
      </c>
      <c r="F111" s="67">
        <v>34.894008124253304</v>
      </c>
      <c r="G111" s="67">
        <v>31.997034767025077</v>
      </c>
      <c r="H111" s="67">
        <v>89.705639187574647</v>
      </c>
      <c r="I111" s="67">
        <v>89.608333930704845</v>
      </c>
      <c r="J111" s="67">
        <v>28.337783154121819</v>
      </c>
      <c r="K111" s="67">
        <v>70.215509677419377</v>
      </c>
      <c r="L111" s="67">
        <v>3.0391799283154119</v>
      </c>
      <c r="M111" s="67">
        <v>3.0259542413381126</v>
      </c>
      <c r="N111" s="67">
        <v>7.481828076463537</v>
      </c>
      <c r="O111" s="67">
        <v>22.911363201911577</v>
      </c>
      <c r="P111" s="67">
        <v>23.147635125448058</v>
      </c>
      <c r="Q111" s="67">
        <v>22.438702986857809</v>
      </c>
      <c r="R111" s="67">
        <v>54.527558781362025</v>
      </c>
      <c r="S111" s="67">
        <v>1.3867383512544799E-3</v>
      </c>
      <c r="T111" s="67">
        <f t="shared" si="42"/>
        <v>9.7305256869802292E-2</v>
      </c>
      <c r="U111" s="67">
        <f t="shared" si="43"/>
        <v>6.2729516129032312</v>
      </c>
      <c r="V111" s="67">
        <f t="shared" si="44"/>
        <v>62.371534229390704</v>
      </c>
      <c r="W111" s="67">
        <f t="shared" si="45"/>
        <v>2668.4779518367955</v>
      </c>
      <c r="X111" s="67">
        <f t="shared" si="46"/>
        <v>89.656986559139739</v>
      </c>
      <c r="Y111" s="67">
        <f t="shared" si="47"/>
        <v>89.608333930704845</v>
      </c>
      <c r="Z111" s="67">
        <f t="shared" si="48"/>
        <v>54847.559888931763</v>
      </c>
      <c r="AA111" s="67">
        <f t="shared" si="49"/>
        <v>0.77657427870095708</v>
      </c>
      <c r="AB111" s="67">
        <f t="shared" si="50"/>
        <v>472701.80861108948</v>
      </c>
      <c r="AC111" s="67">
        <f t="shared" si="51"/>
        <v>9929.6616461829817</v>
      </c>
      <c r="AD111" s="81">
        <v>42.003307147863886</v>
      </c>
      <c r="AF111" s="84"/>
    </row>
    <row r="112" spans="1:32" ht="15" customHeight="1" x14ac:dyDescent="0.25">
      <c r="A112" s="68" t="s">
        <v>291</v>
      </c>
      <c r="B112" s="67">
        <v>5</v>
      </c>
      <c r="C112" s="67">
        <f t="shared" si="41"/>
        <v>14.3</v>
      </c>
      <c r="D112" s="67">
        <v>38.564302997601921</v>
      </c>
      <c r="E112" s="67">
        <v>53.994213309352531</v>
      </c>
      <c r="F112" s="67">
        <v>47.726117625899306</v>
      </c>
      <c r="G112" s="67">
        <v>42.01394364508397</v>
      </c>
      <c r="H112" s="67">
        <v>123.81709328537156</v>
      </c>
      <c r="I112" s="67">
        <v>124.06147781774587</v>
      </c>
      <c r="J112" s="67">
        <v>31.515695323741003</v>
      </c>
      <c r="K112" s="67">
        <v>155.53408045563549</v>
      </c>
      <c r="L112" s="67">
        <v>3.0694613908872972</v>
      </c>
      <c r="M112" s="67">
        <v>3.0564019184652236</v>
      </c>
      <c r="N112" s="67">
        <v>7.2970942446043141</v>
      </c>
      <c r="O112" s="67">
        <v>24.224915107913677</v>
      </c>
      <c r="P112" s="67">
        <v>24.55931630695444</v>
      </c>
      <c r="Q112" s="67">
        <v>23.741714148681044</v>
      </c>
      <c r="R112" s="67">
        <v>130.80656330935255</v>
      </c>
      <c r="S112" s="67">
        <v>-1.5714628297362134E-3</v>
      </c>
      <c r="T112" s="67">
        <f t="shared" si="42"/>
        <v>-0.2443845323743119</v>
      </c>
      <c r="U112" s="67">
        <f t="shared" si="43"/>
        <v>15.429910311750611</v>
      </c>
      <c r="V112" s="67">
        <f t="shared" si="44"/>
        <v>143.17032188249402</v>
      </c>
      <c r="W112" s="67">
        <f t="shared" si="45"/>
        <v>6125.3399009829773</v>
      </c>
      <c r="X112" s="67">
        <f t="shared" si="46"/>
        <v>123.93928555155871</v>
      </c>
      <c r="Y112" s="67">
        <f t="shared" si="47"/>
        <v>124.06147781774587</v>
      </c>
      <c r="Z112" s="67">
        <f t="shared" si="48"/>
        <v>-50128.703657898383</v>
      </c>
      <c r="AA112" s="67">
        <f t="shared" si="49"/>
        <v>0.84101544128564021</v>
      </c>
      <c r="AB112" s="67">
        <f t="shared" si="50"/>
        <v>1085060.21103127</v>
      </c>
      <c r="AC112" s="67">
        <f t="shared" si="51"/>
        <v>26909.095774362238</v>
      </c>
      <c r="AD112" s="81">
        <v>83.738301590283555</v>
      </c>
      <c r="AF112" s="84"/>
    </row>
    <row r="113" spans="1:38" ht="15" customHeight="1" x14ac:dyDescent="0.25">
      <c r="A113" s="68" t="s">
        <v>290</v>
      </c>
      <c r="B113" s="67">
        <v>5</v>
      </c>
      <c r="C113" s="67">
        <f t="shared" si="41"/>
        <v>14.3</v>
      </c>
      <c r="D113" s="67">
        <v>29.95591768219834</v>
      </c>
      <c r="E113" s="67">
        <v>33.683496774193564</v>
      </c>
      <c r="F113" s="67">
        <v>30.419614814814842</v>
      </c>
      <c r="G113" s="67">
        <v>29.19377120669051</v>
      </c>
      <c r="H113" s="67">
        <v>198.20475244922383</v>
      </c>
      <c r="I113" s="67">
        <v>199.82058614097932</v>
      </c>
      <c r="J113" s="67">
        <v>32.481897849462406</v>
      </c>
      <c r="K113" s="67">
        <v>70.46373273596177</v>
      </c>
      <c r="L113" s="66">
        <v>3.0361805256870142</v>
      </c>
      <c r="M113" s="66">
        <v>3.0232105137395608</v>
      </c>
      <c r="N113" s="66">
        <v>7.4127991636797681</v>
      </c>
      <c r="O113" s="66">
        <v>22.949476224611715</v>
      </c>
      <c r="P113" s="66">
        <v>23.204564994026292</v>
      </c>
      <c r="Q113" s="66">
        <v>22.468252449223417</v>
      </c>
      <c r="R113" s="66">
        <v>32.105399880525681</v>
      </c>
      <c r="S113" s="66">
        <v>-2.2932974910394303E-2</v>
      </c>
      <c r="T113" s="67">
        <f t="shared" si="42"/>
        <v>-1.6158336917554834</v>
      </c>
      <c r="U113" s="67">
        <f t="shared" si="43"/>
        <v>3.7275790919952243</v>
      </c>
      <c r="V113" s="67">
        <f t="shared" si="44"/>
        <v>51.284566308243726</v>
      </c>
      <c r="W113" s="67">
        <f t="shared" si="45"/>
        <v>2194.1376968497484</v>
      </c>
      <c r="X113" s="67">
        <f t="shared" si="46"/>
        <v>199.01266929510157</v>
      </c>
      <c r="Y113" s="67">
        <f t="shared" si="47"/>
        <v>199.82058614097932</v>
      </c>
      <c r="Z113" s="67">
        <f t="shared" si="48"/>
        <v>-2715.7964437119522</v>
      </c>
      <c r="AA113" s="67">
        <f t="shared" si="49"/>
        <v>0.45563013246586659</v>
      </c>
      <c r="AB113" s="67">
        <f t="shared" si="50"/>
        <v>388675.82058481249</v>
      </c>
      <c r="AC113" s="67">
        <f t="shared" si="51"/>
        <v>2624.0040281344486</v>
      </c>
      <c r="AD113" s="81">
        <v>51.697406291616105</v>
      </c>
    </row>
    <row r="114" spans="1:38" ht="15" customHeight="1" x14ac:dyDescent="0.25">
      <c r="A114" s="68" t="s">
        <v>289</v>
      </c>
      <c r="B114" s="67">
        <v>5</v>
      </c>
      <c r="C114" s="67">
        <f t="shared" si="41"/>
        <v>14.3</v>
      </c>
      <c r="D114" s="67">
        <v>35.248391966426816</v>
      </c>
      <c r="E114" s="67">
        <v>48.109934892086358</v>
      </c>
      <c r="F114" s="67">
        <v>40.20631690647479</v>
      </c>
      <c r="G114" s="67">
        <v>38.036369784172663</v>
      </c>
      <c r="H114" s="67">
        <v>219.34576930455631</v>
      </c>
      <c r="I114" s="67">
        <v>220.09259328537183</v>
      </c>
      <c r="J114" s="67">
        <v>33.462481894484391</v>
      </c>
      <c r="K114" s="67">
        <v>154.3591418465229</v>
      </c>
      <c r="L114" s="67">
        <v>3.0924281774580487</v>
      </c>
      <c r="M114" s="67">
        <v>3.0769570743405339</v>
      </c>
      <c r="N114" s="67">
        <v>7.3172618705036143</v>
      </c>
      <c r="O114" s="67">
        <v>22.631889928057568</v>
      </c>
      <c r="P114" s="67">
        <v>23.299426498800951</v>
      </c>
      <c r="Q114" s="67">
        <v>22.292039448441223</v>
      </c>
      <c r="R114" s="67">
        <v>109.33234532374104</v>
      </c>
      <c r="S114" s="67">
        <v>-4.8375299760191936E-3</v>
      </c>
      <c r="T114" s="67">
        <f t="shared" si="42"/>
        <v>-0.74682398081552037</v>
      </c>
      <c r="U114" s="67">
        <f t="shared" si="43"/>
        <v>12.861542925659542</v>
      </c>
      <c r="V114" s="67">
        <f t="shared" si="44"/>
        <v>131.84574358513197</v>
      </c>
      <c r="W114" s="67">
        <f t="shared" si="45"/>
        <v>5640.8338218280387</v>
      </c>
      <c r="X114" s="67">
        <f t="shared" si="46"/>
        <v>219.71918129496407</v>
      </c>
      <c r="Y114" s="67">
        <f t="shared" si="47"/>
        <v>220.09259328537183</v>
      </c>
      <c r="Z114" s="67">
        <f t="shared" si="48"/>
        <v>-15106.19360580343</v>
      </c>
      <c r="AA114" s="67">
        <f t="shared" si="49"/>
        <v>0.70829847857309691</v>
      </c>
      <c r="AB114" s="67">
        <f t="shared" si="50"/>
        <v>999233.41986668098</v>
      </c>
      <c r="AC114" s="67">
        <f t="shared" si="51"/>
        <v>6827.7642383675357</v>
      </c>
      <c r="AD114" s="81">
        <v>73.744039793784125</v>
      </c>
    </row>
    <row r="115" spans="1:38" ht="15" customHeight="1" x14ac:dyDescent="0.25">
      <c r="A115" s="174" t="s">
        <v>288</v>
      </c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</row>
    <row r="116" spans="1:38" ht="15" customHeight="1" x14ac:dyDescent="0.35">
      <c r="A116" s="71" t="s">
        <v>240</v>
      </c>
      <c r="B116" s="71" t="s">
        <v>195</v>
      </c>
      <c r="C116" s="71" t="s">
        <v>239</v>
      </c>
      <c r="D116" s="71" t="s">
        <v>238</v>
      </c>
      <c r="E116" s="71" t="s">
        <v>237</v>
      </c>
      <c r="F116" s="71" t="s">
        <v>236</v>
      </c>
      <c r="G116" s="71" t="s">
        <v>235</v>
      </c>
      <c r="H116" s="71" t="s">
        <v>234</v>
      </c>
      <c r="I116" s="71" t="s">
        <v>233</v>
      </c>
      <c r="J116" s="71" t="s">
        <v>232</v>
      </c>
      <c r="K116" s="71" t="s">
        <v>231</v>
      </c>
      <c r="L116" s="71" t="s">
        <v>230</v>
      </c>
      <c r="M116" s="71" t="s">
        <v>229</v>
      </c>
      <c r="N116" s="71" t="s">
        <v>228</v>
      </c>
      <c r="O116" s="71" t="s">
        <v>227</v>
      </c>
      <c r="P116" s="71" t="s">
        <v>226</v>
      </c>
      <c r="Q116" s="71" t="s">
        <v>225</v>
      </c>
      <c r="R116" s="71" t="s">
        <v>224</v>
      </c>
      <c r="S116" s="71" t="s">
        <v>223</v>
      </c>
      <c r="T116" s="69" t="s">
        <v>222</v>
      </c>
      <c r="U116" s="69" t="s">
        <v>221</v>
      </c>
      <c r="V116" s="69" t="s">
        <v>220</v>
      </c>
      <c r="W116" s="69" t="s">
        <v>219</v>
      </c>
      <c r="X116" s="69" t="s">
        <v>218</v>
      </c>
      <c r="Y116" s="69" t="s">
        <v>217</v>
      </c>
      <c r="Z116" s="69" t="s">
        <v>216</v>
      </c>
      <c r="AA116" s="73" t="s">
        <v>215</v>
      </c>
      <c r="AB116" s="69" t="s">
        <v>214</v>
      </c>
      <c r="AC116" s="69" t="s">
        <v>213</v>
      </c>
      <c r="AD116" s="69" t="s">
        <v>212</v>
      </c>
      <c r="AF116" s="80"/>
    </row>
    <row r="117" spans="1:38" ht="15" customHeight="1" x14ac:dyDescent="0.25">
      <c r="A117" s="72"/>
      <c r="B117" s="71" t="s">
        <v>211</v>
      </c>
      <c r="C117" s="71" t="s">
        <v>210</v>
      </c>
      <c r="D117" s="71" t="s">
        <v>204</v>
      </c>
      <c r="E117" s="71" t="s">
        <v>204</v>
      </c>
      <c r="F117" s="71" t="s">
        <v>204</v>
      </c>
      <c r="G117" s="71" t="s">
        <v>204</v>
      </c>
      <c r="H117" s="71" t="s">
        <v>204</v>
      </c>
      <c r="I117" s="71" t="s">
        <v>204</v>
      </c>
      <c r="J117" s="71" t="s">
        <v>204</v>
      </c>
      <c r="K117" s="71" t="s">
        <v>206</v>
      </c>
      <c r="L117" s="71" t="s">
        <v>209</v>
      </c>
      <c r="M117" s="71" t="s">
        <v>209</v>
      </c>
      <c r="N117" s="71" t="s">
        <v>208</v>
      </c>
      <c r="O117" s="71" t="s">
        <v>204</v>
      </c>
      <c r="P117" s="71" t="s">
        <v>204</v>
      </c>
      <c r="Q117" s="71" t="s">
        <v>204</v>
      </c>
      <c r="R117" s="71" t="s">
        <v>206</v>
      </c>
      <c r="S117" s="71" t="s">
        <v>207</v>
      </c>
      <c r="T117" s="69" t="s">
        <v>204</v>
      </c>
      <c r="U117" s="69" t="s">
        <v>204</v>
      </c>
      <c r="V117" s="69" t="s">
        <v>206</v>
      </c>
      <c r="W117" s="69" t="s">
        <v>4</v>
      </c>
      <c r="X117" s="69" t="s">
        <v>204</v>
      </c>
      <c r="Y117" s="69" t="s">
        <v>204</v>
      </c>
      <c r="Z117" s="69" t="s">
        <v>205</v>
      </c>
      <c r="AA117" s="70"/>
      <c r="AB117" s="69" t="s">
        <v>4</v>
      </c>
      <c r="AC117" s="69" t="s">
        <v>205</v>
      </c>
      <c r="AD117" s="69" t="s">
        <v>204</v>
      </c>
      <c r="AF117" s="80"/>
    </row>
    <row r="118" spans="1:38" ht="15" customHeight="1" x14ac:dyDescent="0.25">
      <c r="A118" s="82" t="s">
        <v>287</v>
      </c>
      <c r="B118" s="67">
        <v>10</v>
      </c>
      <c r="C118" s="67">
        <v>28.5</v>
      </c>
      <c r="D118" s="67">
        <v>31.122308872901648</v>
      </c>
      <c r="E118" s="67">
        <v>36.947840767386104</v>
      </c>
      <c r="F118" s="67">
        <v>32.668998201438882</v>
      </c>
      <c r="G118" s="67">
        <v>31.365955155875337</v>
      </c>
      <c r="H118" s="67">
        <v>99.002929136690653</v>
      </c>
      <c r="I118" s="67">
        <v>96.55763477218234</v>
      </c>
      <c r="J118" s="67">
        <v>28.215168585131867</v>
      </c>
      <c r="K118" s="67">
        <v>68.455394364508464</v>
      </c>
      <c r="L118" s="67">
        <v>3.0345039568345111</v>
      </c>
      <c r="M118" s="67">
        <v>3.0217392086330914</v>
      </c>
      <c r="N118" s="67">
        <v>7.4270225419664326</v>
      </c>
      <c r="O118" s="67">
        <v>22.1186205035971</v>
      </c>
      <c r="P118" s="67">
        <v>22.69769976019186</v>
      </c>
      <c r="Q118" s="67">
        <v>21.892767985611535</v>
      </c>
      <c r="R118" s="67">
        <v>50.26854844124702</v>
      </c>
      <c r="S118" s="67">
        <v>3.5720623501199013E-2</v>
      </c>
      <c r="T118" s="67">
        <f t="shared" ref="T118:T129" si="52">H124-I124</f>
        <v>4.5526373380447183</v>
      </c>
      <c r="U118" s="67">
        <f t="shared" ref="U118:U129" si="53">E124-D124</f>
        <v>6.0081432273262934</v>
      </c>
      <c r="V118" s="67">
        <f t="shared" ref="V118:V129" si="54">(K118+R118)/2</f>
        <v>59.361971402877742</v>
      </c>
      <c r="W118" s="67">
        <f t="shared" ref="W118:W129" si="55">V118/(PI()*0.006*1.24)</f>
        <v>2539.7180592601412</v>
      </c>
      <c r="X118" s="67">
        <f t="shared" ref="X118:X129" si="56">(H118+I118)/2</f>
        <v>97.780281954436504</v>
      </c>
      <c r="Y118" s="67">
        <f t="shared" ref="Y118:Y129" si="57">I118</f>
        <v>96.55763477218234</v>
      </c>
      <c r="Z118" s="67">
        <f t="shared" ref="Z118:Z129" si="58">W118/(X118-I118)</f>
        <v>2077.2288981828156</v>
      </c>
      <c r="AA118" s="67">
        <f t="shared" ref="AA118:AA129" si="59">R118/K118</f>
        <v>0.73432559855807888</v>
      </c>
      <c r="AB118" s="67">
        <f t="shared" ref="AB118:AB129" si="60">V118/(PI()*0.006*0.007)</f>
        <v>449892.91335465357</v>
      </c>
      <c r="AC118" s="77">
        <f t="shared" ref="AC118:AC129" si="61">AB118/(I118-AD118)</f>
        <v>9585.5064006133634</v>
      </c>
      <c r="AD118" s="83">
        <v>49.622929963486413</v>
      </c>
    </row>
    <row r="119" spans="1:38" ht="15" customHeight="1" x14ac:dyDescent="0.25">
      <c r="A119" s="82" t="s">
        <v>286</v>
      </c>
      <c r="B119" s="67">
        <v>10</v>
      </c>
      <c r="C119" s="67">
        <f t="shared" ref="C119:C129" si="62">ROUND(((B119/1000)/(9*PI()*1240))*10^8,1)</f>
        <v>28.5</v>
      </c>
      <c r="D119" s="67">
        <v>36.223912124849932</v>
      </c>
      <c r="E119" s="67">
        <v>51.073248019207647</v>
      </c>
      <c r="F119" s="67">
        <v>41.063679831932788</v>
      </c>
      <c r="G119" s="67">
        <v>40.034233013205267</v>
      </c>
      <c r="H119" s="67">
        <v>138.55982484994004</v>
      </c>
      <c r="I119" s="67">
        <v>138.80711812725107</v>
      </c>
      <c r="J119" s="67">
        <v>30.143587875150079</v>
      </c>
      <c r="K119" s="67">
        <v>155.54644861944786</v>
      </c>
      <c r="L119" s="67">
        <v>3.0644334933973645</v>
      </c>
      <c r="M119" s="67">
        <v>3.0519683073229253</v>
      </c>
      <c r="N119" s="67">
        <v>7.3060804321727861</v>
      </c>
      <c r="O119" s="67">
        <v>21.121857503001195</v>
      </c>
      <c r="P119" s="67">
        <v>21.690507202881143</v>
      </c>
      <c r="Q119" s="67">
        <v>20.958917166866772</v>
      </c>
      <c r="R119" s="67">
        <v>126.03765894357733</v>
      </c>
      <c r="S119" s="67">
        <v>-1.5881152460984383E-3</v>
      </c>
      <c r="T119" s="67">
        <f t="shared" si="52"/>
        <v>1.3260784337348923</v>
      </c>
      <c r="U119" s="67">
        <f t="shared" si="53"/>
        <v>14.851505180722974</v>
      </c>
      <c r="V119" s="67">
        <f t="shared" si="54"/>
        <v>140.79205378151261</v>
      </c>
      <c r="W119" s="67">
        <f t="shared" si="55"/>
        <v>6023.5890611257273</v>
      </c>
      <c r="X119" s="67">
        <f t="shared" si="56"/>
        <v>138.68347148859556</v>
      </c>
      <c r="Y119" s="67">
        <f t="shared" si="57"/>
        <v>138.80711812725107</v>
      </c>
      <c r="Z119" s="67">
        <f t="shared" si="58"/>
        <v>-48716.156998878956</v>
      </c>
      <c r="AA119" s="67">
        <f t="shared" si="59"/>
        <v>0.81028953127650472</v>
      </c>
      <c r="AB119" s="67">
        <f t="shared" si="60"/>
        <v>1067035.7765422717</v>
      </c>
      <c r="AC119" s="77">
        <f t="shared" si="61"/>
        <v>18181.076644882465</v>
      </c>
      <c r="AD119" s="83">
        <v>80.117756799322422</v>
      </c>
    </row>
    <row r="120" spans="1:38" ht="15" customHeight="1" x14ac:dyDescent="0.25">
      <c r="A120" s="82" t="s">
        <v>285</v>
      </c>
      <c r="B120" s="67">
        <v>10</v>
      </c>
      <c r="C120" s="67">
        <f t="shared" si="62"/>
        <v>28.5</v>
      </c>
      <c r="D120" s="67">
        <v>30.086061325301188</v>
      </c>
      <c r="E120" s="67">
        <v>34.299075060240973</v>
      </c>
      <c r="F120" s="67">
        <v>30.396031927710805</v>
      </c>
      <c r="G120" s="67">
        <v>29.899401445783091</v>
      </c>
      <c r="H120" s="67">
        <v>176.0446018072289</v>
      </c>
      <c r="I120" s="67">
        <v>175.05320975903601</v>
      </c>
      <c r="J120" s="67">
        <v>32.623652530120438</v>
      </c>
      <c r="K120" s="67">
        <v>69.447170481927614</v>
      </c>
      <c r="L120" s="67">
        <v>3.0231624096385667</v>
      </c>
      <c r="M120" s="67">
        <v>3.0101443373493852</v>
      </c>
      <c r="N120" s="67">
        <v>7.4698677108433538</v>
      </c>
      <c r="O120" s="67">
        <v>22.327776987951843</v>
      </c>
      <c r="P120" s="67">
        <v>23.699158795180711</v>
      </c>
      <c r="Q120" s="67">
        <v>22.100378313252985</v>
      </c>
      <c r="R120" s="67">
        <v>36.565461927710885</v>
      </c>
      <c r="S120" s="67">
        <v>1.4277108433734927E-2</v>
      </c>
      <c r="T120" s="67">
        <f t="shared" si="52"/>
        <v>0.46774256348234644</v>
      </c>
      <c r="U120" s="67">
        <f t="shared" si="53"/>
        <v>6.3941498186215142</v>
      </c>
      <c r="V120" s="67">
        <f t="shared" si="54"/>
        <v>53.00631620481925</v>
      </c>
      <c r="W120" s="67">
        <f t="shared" si="55"/>
        <v>2267.8003330884458</v>
      </c>
      <c r="X120" s="67">
        <f t="shared" si="56"/>
        <v>175.54890578313245</v>
      </c>
      <c r="Y120" s="67">
        <f t="shared" si="57"/>
        <v>175.05320975903601</v>
      </c>
      <c r="Z120" s="67">
        <f t="shared" si="58"/>
        <v>4574.9818898027024</v>
      </c>
      <c r="AA120" s="67">
        <f t="shared" si="59"/>
        <v>0.5265219831703063</v>
      </c>
      <c r="AB120" s="67">
        <f t="shared" si="60"/>
        <v>401724.63043281029</v>
      </c>
      <c r="AC120" s="77">
        <f t="shared" si="61"/>
        <v>3058.3866134878112</v>
      </c>
      <c r="AD120" s="83">
        <v>43.701395485078017</v>
      </c>
    </row>
    <row r="121" spans="1:38" ht="15" customHeight="1" x14ac:dyDescent="0.25">
      <c r="A121" s="82" t="s">
        <v>284</v>
      </c>
      <c r="B121" s="67">
        <v>10</v>
      </c>
      <c r="C121" s="67">
        <f t="shared" si="62"/>
        <v>28.5</v>
      </c>
      <c r="D121" s="67">
        <v>35.113497362110301</v>
      </c>
      <c r="E121" s="67">
        <v>47.925187889688246</v>
      </c>
      <c r="F121" s="67">
        <v>39.532517865707426</v>
      </c>
      <c r="G121" s="67">
        <v>38.438747721822509</v>
      </c>
      <c r="H121" s="67">
        <v>205.47987937649876</v>
      </c>
      <c r="I121" s="67">
        <v>205.41600635491594</v>
      </c>
      <c r="J121" s="67">
        <v>34.833604076738652</v>
      </c>
      <c r="K121" s="67">
        <v>155.46005119904081</v>
      </c>
      <c r="L121" s="67">
        <v>3.0362446043165483</v>
      </c>
      <c r="M121" s="67">
        <v>3.0236731414868117</v>
      </c>
      <c r="N121" s="67">
        <v>7.4277202637889737</v>
      </c>
      <c r="O121" s="67">
        <v>22.166397242206237</v>
      </c>
      <c r="P121" s="67">
        <v>23.664268465227831</v>
      </c>
      <c r="Q121" s="67">
        <v>21.718917026378879</v>
      </c>
      <c r="R121" s="67">
        <v>110.55376810551557</v>
      </c>
      <c r="S121" s="67">
        <v>4.0899280575539562E-4</v>
      </c>
      <c r="T121" s="67">
        <f t="shared" si="52"/>
        <v>1.3127087635054693</v>
      </c>
      <c r="U121" s="67">
        <f t="shared" si="53"/>
        <v>15.110809363745538</v>
      </c>
      <c r="V121" s="67">
        <f t="shared" si="54"/>
        <v>133.00690965227818</v>
      </c>
      <c r="W121" s="67">
        <f t="shared" si="55"/>
        <v>5690.5126711121502</v>
      </c>
      <c r="X121" s="67">
        <f t="shared" si="56"/>
        <v>205.44794286570735</v>
      </c>
      <c r="Y121" s="67">
        <f t="shared" si="57"/>
        <v>205.41600635491594</v>
      </c>
      <c r="Z121" s="67">
        <f t="shared" si="58"/>
        <v>178182.04087099494</v>
      </c>
      <c r="AA121" s="67">
        <f t="shared" si="59"/>
        <v>0.71113940367850392</v>
      </c>
      <c r="AB121" s="67">
        <f t="shared" si="60"/>
        <v>1008033.6731684379</v>
      </c>
      <c r="AC121" s="77">
        <f t="shared" si="61"/>
        <v>7656.483313871182</v>
      </c>
      <c r="AD121" s="83">
        <v>73.758477454906142</v>
      </c>
    </row>
    <row r="122" spans="1:38" ht="15" customHeight="1" x14ac:dyDescent="0.25">
      <c r="A122" s="82" t="s">
        <v>283</v>
      </c>
      <c r="B122" s="67">
        <v>10</v>
      </c>
      <c r="C122" s="67">
        <f t="shared" si="62"/>
        <v>28.5</v>
      </c>
      <c r="D122" s="67">
        <v>29.908574282296676</v>
      </c>
      <c r="E122" s="67">
        <v>33.71069688995216</v>
      </c>
      <c r="F122" s="67">
        <v>30.096496531100495</v>
      </c>
      <c r="G122" s="67">
        <v>29.532282057416293</v>
      </c>
      <c r="H122" s="67">
        <v>196.4603178229666</v>
      </c>
      <c r="I122" s="67">
        <v>200.26700275119626</v>
      </c>
      <c r="J122" s="67">
        <v>34.358422129186593</v>
      </c>
      <c r="K122" s="67">
        <v>71.420899641148409</v>
      </c>
      <c r="L122" s="67">
        <v>3.0297052631579229</v>
      </c>
      <c r="M122" s="67">
        <v>3.0167967703349325</v>
      </c>
      <c r="N122" s="67">
        <v>7.4616349282296657</v>
      </c>
      <c r="O122" s="67">
        <v>22.593993660287079</v>
      </c>
      <c r="P122" s="67">
        <v>23.247957655502358</v>
      </c>
      <c r="Q122" s="67">
        <v>22.343455980861226</v>
      </c>
      <c r="R122" s="67">
        <v>32.963111363636379</v>
      </c>
      <c r="S122" s="67">
        <v>-5.3300119617224875E-2</v>
      </c>
      <c r="T122" s="67">
        <f t="shared" si="52"/>
        <v>-5.2143348920861854</v>
      </c>
      <c r="U122" s="67">
        <f t="shared" si="53"/>
        <v>3.8528732613909362</v>
      </c>
      <c r="V122" s="67">
        <f t="shared" si="54"/>
        <v>52.192005502392391</v>
      </c>
      <c r="W122" s="67">
        <f t="shared" si="55"/>
        <v>2232.9612004261153</v>
      </c>
      <c r="X122" s="67">
        <f t="shared" si="56"/>
        <v>198.36366028708142</v>
      </c>
      <c r="Y122" s="67">
        <f t="shared" si="57"/>
        <v>200.26700275119626</v>
      </c>
      <c r="Z122" s="67">
        <f t="shared" si="58"/>
        <v>-1173.1788905705748</v>
      </c>
      <c r="AA122" s="67">
        <f t="shared" si="59"/>
        <v>0.46153313006778518</v>
      </c>
      <c r="AB122" s="67">
        <f t="shared" si="60"/>
        <v>395553.12693262612</v>
      </c>
      <c r="AC122" s="77">
        <f t="shared" si="61"/>
        <v>2502.9606531719564</v>
      </c>
      <c r="AD122" s="81">
        <v>42.232905638503389</v>
      </c>
    </row>
    <row r="123" spans="1:38" ht="15" customHeight="1" x14ac:dyDescent="0.25">
      <c r="A123" s="82" t="s">
        <v>282</v>
      </c>
      <c r="B123" s="67">
        <v>10</v>
      </c>
      <c r="C123" s="67">
        <f t="shared" si="62"/>
        <v>28.5</v>
      </c>
      <c r="D123" s="67">
        <v>34.84678786057696</v>
      </c>
      <c r="E123" s="67">
        <v>46.86586959134614</v>
      </c>
      <c r="F123" s="67">
        <v>38.383170072115369</v>
      </c>
      <c r="G123" s="67">
        <v>37.661704447115369</v>
      </c>
      <c r="H123" s="67">
        <v>227.70314122596159</v>
      </c>
      <c r="I123" s="67">
        <v>227.17940661057688</v>
      </c>
      <c r="J123" s="67">
        <v>36.139002043269201</v>
      </c>
      <c r="K123" s="67">
        <v>152.43446117788469</v>
      </c>
      <c r="L123" s="67">
        <v>3.093450000000006</v>
      </c>
      <c r="M123" s="67">
        <v>3.0808756009615377</v>
      </c>
      <c r="N123" s="67">
        <v>7.3685913461538508</v>
      </c>
      <c r="O123" s="67">
        <v>21.528360937500022</v>
      </c>
      <c r="P123" s="67">
        <v>22.358875360576924</v>
      </c>
      <c r="Q123" s="67">
        <v>21.277751923076917</v>
      </c>
      <c r="R123" s="67">
        <v>102.88821874999998</v>
      </c>
      <c r="S123" s="67">
        <v>3.4367788461538468E-3</v>
      </c>
      <c r="T123" s="67">
        <f t="shared" si="52"/>
        <v>-1.2300219687876961</v>
      </c>
      <c r="U123" s="67">
        <f t="shared" si="53"/>
        <v>12.494462665066024</v>
      </c>
      <c r="V123" s="67">
        <f t="shared" si="54"/>
        <v>127.66133996394234</v>
      </c>
      <c r="W123" s="67">
        <f t="shared" si="55"/>
        <v>5461.8100260742867</v>
      </c>
      <c r="X123" s="67">
        <f t="shared" si="56"/>
        <v>227.44127391826925</v>
      </c>
      <c r="Y123" s="67">
        <f t="shared" si="57"/>
        <v>227.17940661057688</v>
      </c>
      <c r="Z123" s="67">
        <f t="shared" si="58"/>
        <v>20857.166456572653</v>
      </c>
      <c r="AA123" s="67">
        <f t="shared" si="59"/>
        <v>0.67496691991408486</v>
      </c>
      <c r="AB123" s="67">
        <f t="shared" si="60"/>
        <v>967520.63319030218</v>
      </c>
      <c r="AC123" s="77">
        <f t="shared" si="61"/>
        <v>6200.0536823740013</v>
      </c>
      <c r="AD123" s="81">
        <v>71.129042733753408</v>
      </c>
    </row>
    <row r="124" spans="1:38" ht="15" customHeight="1" x14ac:dyDescent="0.25">
      <c r="A124" s="82" t="s">
        <v>281</v>
      </c>
      <c r="B124" s="67">
        <v>5</v>
      </c>
      <c r="C124" s="67">
        <f t="shared" si="62"/>
        <v>14.3</v>
      </c>
      <c r="D124" s="67">
        <v>30.071879505300316</v>
      </c>
      <c r="E124" s="67">
        <v>36.08002273262661</v>
      </c>
      <c r="F124" s="67">
        <v>31.112543580683152</v>
      </c>
      <c r="G124" s="67">
        <v>30.60008009422851</v>
      </c>
      <c r="H124" s="67">
        <v>101.94992402826858</v>
      </c>
      <c r="I124" s="67">
        <v>97.397286690223865</v>
      </c>
      <c r="J124" s="67">
        <v>27.09653745583039</v>
      </c>
      <c r="K124" s="67">
        <v>70.243260188456986</v>
      </c>
      <c r="L124" s="67">
        <v>3.0403285041225039</v>
      </c>
      <c r="M124" s="67">
        <v>3.0278124852768054</v>
      </c>
      <c r="N124" s="67">
        <v>7.4440594817432517</v>
      </c>
      <c r="O124" s="67">
        <v>20.870814369846872</v>
      </c>
      <c r="P124" s="67">
        <v>21.8397465253239</v>
      </c>
      <c r="Q124" s="67">
        <v>20.602007420494694</v>
      </c>
      <c r="R124" s="67">
        <v>51.965538162544185</v>
      </c>
      <c r="S124" s="67">
        <v>6.4811660777385233E-2</v>
      </c>
      <c r="T124" s="67">
        <f t="shared" si="52"/>
        <v>0</v>
      </c>
      <c r="U124" s="67">
        <f t="shared" si="53"/>
        <v>0</v>
      </c>
      <c r="V124" s="67">
        <f t="shared" si="54"/>
        <v>61.104399175500589</v>
      </c>
      <c r="W124" s="67">
        <f t="shared" si="55"/>
        <v>2614.2653692046379</v>
      </c>
      <c r="X124" s="67">
        <f t="shared" si="56"/>
        <v>99.673605359246224</v>
      </c>
      <c r="Y124" s="67">
        <f t="shared" si="57"/>
        <v>97.397286690223865</v>
      </c>
      <c r="Z124" s="67">
        <f t="shared" si="58"/>
        <v>1148.4619463791603</v>
      </c>
      <c r="AA124" s="67">
        <f t="shared" si="59"/>
        <v>0.73979393927794423</v>
      </c>
      <c r="AB124" s="67">
        <f t="shared" si="60"/>
        <v>463098.43683053576</v>
      </c>
      <c r="AC124" s="77">
        <f t="shared" si="61"/>
        <v>9614.6337319672202</v>
      </c>
      <c r="AD124" s="81">
        <v>49.231287886670621</v>
      </c>
    </row>
    <row r="125" spans="1:38" ht="15" customHeight="1" x14ac:dyDescent="0.25">
      <c r="A125" s="82" t="s">
        <v>280</v>
      </c>
      <c r="B125" s="67">
        <v>5</v>
      </c>
      <c r="C125" s="67">
        <f t="shared" si="62"/>
        <v>14.3</v>
      </c>
      <c r="D125" s="67">
        <v>36.510224819277106</v>
      </c>
      <c r="E125" s="67">
        <v>51.36173000000008</v>
      </c>
      <c r="F125" s="67">
        <v>41.034747349397541</v>
      </c>
      <c r="G125" s="67">
        <v>40.434071927710903</v>
      </c>
      <c r="H125" s="67">
        <v>131.52334481927718</v>
      </c>
      <c r="I125" s="67">
        <v>130.19726638554229</v>
      </c>
      <c r="J125" s="67">
        <v>29.859257469879527</v>
      </c>
      <c r="K125" s="67">
        <v>156.61797771084349</v>
      </c>
      <c r="L125" s="67">
        <v>3.004328674698808</v>
      </c>
      <c r="M125" s="67">
        <v>2.992331807228918</v>
      </c>
      <c r="N125" s="67">
        <v>7.4155930120482108</v>
      </c>
      <c r="O125" s="67">
        <v>21.383456385542157</v>
      </c>
      <c r="P125" s="67">
        <v>21.906331325301192</v>
      </c>
      <c r="Q125" s="67">
        <v>21.182289879518098</v>
      </c>
      <c r="R125" s="67">
        <v>127.94607554216866</v>
      </c>
      <c r="S125" s="67">
        <v>8.4686746987951908E-3</v>
      </c>
      <c r="T125" s="67" t="e">
        <f t="shared" si="52"/>
        <v>#VALUE!</v>
      </c>
      <c r="U125" s="67" t="e">
        <f t="shared" si="53"/>
        <v>#VALUE!</v>
      </c>
      <c r="V125" s="67">
        <f t="shared" si="54"/>
        <v>142.28202662650608</v>
      </c>
      <c r="W125" s="67">
        <f t="shared" si="55"/>
        <v>6087.335443747611</v>
      </c>
      <c r="X125" s="67">
        <f t="shared" si="56"/>
        <v>130.86030560240974</v>
      </c>
      <c r="Y125" s="67">
        <f t="shared" si="57"/>
        <v>130.19726638554229</v>
      </c>
      <c r="Z125" s="67">
        <f t="shared" si="58"/>
        <v>9180.9583639825378</v>
      </c>
      <c r="AA125" s="67">
        <f t="shared" si="59"/>
        <v>0.81693096419869216</v>
      </c>
      <c r="AB125" s="67">
        <f t="shared" si="60"/>
        <v>1078327.9928924339</v>
      </c>
      <c r="AC125" s="77">
        <f t="shared" si="61"/>
        <v>21778.160391112429</v>
      </c>
      <c r="AD125" s="81">
        <v>80.683075401234234</v>
      </c>
    </row>
    <row r="126" spans="1:38" ht="15" customHeight="1" x14ac:dyDescent="0.25">
      <c r="A126" s="82" t="s">
        <v>279</v>
      </c>
      <c r="B126" s="67">
        <v>5</v>
      </c>
      <c r="C126" s="67">
        <f t="shared" si="62"/>
        <v>14.3</v>
      </c>
      <c r="D126" s="67">
        <v>30.524705078597364</v>
      </c>
      <c r="E126" s="67">
        <v>36.918854897218878</v>
      </c>
      <c r="F126" s="67">
        <v>32.200345102781114</v>
      </c>
      <c r="G126" s="67">
        <v>31.00590846432889</v>
      </c>
      <c r="H126" s="67">
        <v>84.566257194679523</v>
      </c>
      <c r="I126" s="67">
        <v>84.098514631197176</v>
      </c>
      <c r="J126" s="67">
        <v>26.273731438935904</v>
      </c>
      <c r="K126" s="67">
        <v>71.508014026602183</v>
      </c>
      <c r="L126" s="67">
        <v>3.0385956469165696</v>
      </c>
      <c r="M126" s="67">
        <v>3.0264596130592269</v>
      </c>
      <c r="N126" s="67">
        <v>7.403318258766638</v>
      </c>
      <c r="O126" s="67">
        <v>21.166311487303524</v>
      </c>
      <c r="P126" s="67">
        <v>21.484011245465513</v>
      </c>
      <c r="Q126" s="67">
        <v>20.854578355501801</v>
      </c>
      <c r="R126" s="67">
        <v>55.000336517533306</v>
      </c>
      <c r="S126" s="67">
        <v>6.5408706166868282E-3</v>
      </c>
      <c r="T126" s="67" t="e">
        <f t="shared" si="52"/>
        <v>#VALUE!</v>
      </c>
      <c r="U126" s="67" t="e">
        <f t="shared" si="53"/>
        <v>#VALUE!</v>
      </c>
      <c r="V126" s="67">
        <f t="shared" si="54"/>
        <v>63.254175272067741</v>
      </c>
      <c r="W126" s="67">
        <f t="shared" si="55"/>
        <v>2706.2405015458912</v>
      </c>
      <c r="X126" s="67">
        <f t="shared" si="56"/>
        <v>84.332385912938349</v>
      </c>
      <c r="Y126" s="67">
        <f t="shared" si="57"/>
        <v>84.098514631197176</v>
      </c>
      <c r="Z126" s="67">
        <f t="shared" si="58"/>
        <v>11571.49557396664</v>
      </c>
      <c r="AA126" s="67">
        <f t="shared" si="59"/>
        <v>0.76914926622171687</v>
      </c>
      <c r="AB126" s="67">
        <f t="shared" si="60"/>
        <v>479391.17455955781</v>
      </c>
      <c r="AC126" s="77">
        <f t="shared" si="61"/>
        <v>14386.254384669222</v>
      </c>
      <c r="AD126" s="81">
        <v>50.775652283481207</v>
      </c>
    </row>
    <row r="127" spans="1:38" ht="15" customHeight="1" x14ac:dyDescent="0.25">
      <c r="A127" s="82" t="s">
        <v>278</v>
      </c>
      <c r="B127" s="67">
        <v>5</v>
      </c>
      <c r="C127" s="67">
        <f t="shared" si="62"/>
        <v>14.3</v>
      </c>
      <c r="D127" s="67">
        <v>36.372087154861951</v>
      </c>
      <c r="E127" s="67">
        <v>51.48289651860749</v>
      </c>
      <c r="F127" s="67">
        <v>41.906883073229288</v>
      </c>
      <c r="G127" s="67">
        <v>40.225891956782753</v>
      </c>
      <c r="H127" s="67">
        <v>116.65178091236491</v>
      </c>
      <c r="I127" s="67">
        <v>115.33907214885944</v>
      </c>
      <c r="J127" s="67">
        <v>29.448411524609835</v>
      </c>
      <c r="K127" s="67">
        <v>154.76129303721484</v>
      </c>
      <c r="L127" s="67">
        <v>3.0167984393757408</v>
      </c>
      <c r="M127" s="67">
        <v>3.0048782713085194</v>
      </c>
      <c r="N127" s="67">
        <v>7.4168246098439354</v>
      </c>
      <c r="O127" s="67">
        <v>21.093967587034808</v>
      </c>
      <c r="P127" s="67">
        <v>21.488334813925576</v>
      </c>
      <c r="Q127" s="67">
        <v>20.796525330132049</v>
      </c>
      <c r="R127" s="67">
        <v>130.20159027611041</v>
      </c>
      <c r="S127" s="67">
        <v>8.4831932773109468E-3</v>
      </c>
      <c r="T127" s="67">
        <f t="shared" si="52"/>
        <v>3.4616544554455402</v>
      </c>
      <c r="U127" s="67">
        <f t="shared" si="53"/>
        <v>5.3685079207920836</v>
      </c>
      <c r="V127" s="67">
        <f t="shared" si="54"/>
        <v>142.48144165666264</v>
      </c>
      <c r="W127" s="67">
        <f t="shared" si="55"/>
        <v>6095.86713401004</v>
      </c>
      <c r="X127" s="67">
        <f t="shared" si="56"/>
        <v>115.99542653061218</v>
      </c>
      <c r="Y127" s="67">
        <f t="shared" si="57"/>
        <v>115.33907214885944</v>
      </c>
      <c r="Z127" s="67">
        <f t="shared" si="58"/>
        <v>9287.4631502140383</v>
      </c>
      <c r="AA127" s="67">
        <f t="shared" si="59"/>
        <v>0.8413059087377962</v>
      </c>
      <c r="AB127" s="67">
        <f t="shared" si="60"/>
        <v>1079839.3208817784</v>
      </c>
      <c r="AC127" s="77">
        <f t="shared" si="61"/>
        <v>31711.864345959293</v>
      </c>
      <c r="AD127" s="81">
        <v>81.287484733458214</v>
      </c>
    </row>
    <row r="128" spans="1:38" ht="15" customHeight="1" x14ac:dyDescent="0.25">
      <c r="A128" s="82" t="s">
        <v>277</v>
      </c>
      <c r="B128" s="67">
        <v>5</v>
      </c>
      <c r="C128" s="67">
        <f t="shared" si="62"/>
        <v>14.3</v>
      </c>
      <c r="D128" s="67">
        <v>27.681439688249373</v>
      </c>
      <c r="E128" s="67">
        <v>31.534312949640309</v>
      </c>
      <c r="F128" s="67">
        <v>27.773455275779387</v>
      </c>
      <c r="G128" s="67">
        <v>27.556709952038361</v>
      </c>
      <c r="H128" s="67">
        <v>175.77992673860922</v>
      </c>
      <c r="I128" s="67">
        <v>180.99426163069541</v>
      </c>
      <c r="J128" s="67">
        <v>31.085839808153455</v>
      </c>
      <c r="K128" s="67">
        <v>69.444367386091059</v>
      </c>
      <c r="L128" s="67">
        <v>3.0296456834532508</v>
      </c>
      <c r="M128" s="67">
        <v>3.0171454436450791</v>
      </c>
      <c r="N128" s="67">
        <v>7.5488829736210388</v>
      </c>
      <c r="O128" s="67">
        <v>20.000170023980807</v>
      </c>
      <c r="P128" s="67">
        <v>21.23477973621101</v>
      </c>
      <c r="Q128" s="67">
        <v>19.843801558752983</v>
      </c>
      <c r="R128" s="67">
        <v>33.798014148681034</v>
      </c>
      <c r="S128" s="67">
        <v>-7.5087410071942487E-2</v>
      </c>
      <c r="T128" s="67">
        <f t="shared" si="52"/>
        <v>3.2376099009900798</v>
      </c>
      <c r="U128" s="67">
        <f t="shared" si="53"/>
        <v>5.3204138613861502</v>
      </c>
      <c r="V128" s="67">
        <f t="shared" si="54"/>
        <v>51.621190767386047</v>
      </c>
      <c r="W128" s="67">
        <f t="shared" si="55"/>
        <v>2208.5396986341934</v>
      </c>
      <c r="X128" s="67">
        <f t="shared" si="56"/>
        <v>178.38709418465231</v>
      </c>
      <c r="Y128" s="67">
        <f t="shared" si="57"/>
        <v>180.99426163069541</v>
      </c>
      <c r="Z128" s="67">
        <f t="shared" si="58"/>
        <v>-847.10312795064317</v>
      </c>
      <c r="AA128" s="67">
        <f t="shared" si="59"/>
        <v>0.48669194379399594</v>
      </c>
      <c r="AB128" s="67">
        <f t="shared" si="60"/>
        <v>391227.03232948564</v>
      </c>
      <c r="AC128" s="77">
        <f t="shared" si="61"/>
        <v>2781.8541375355244</v>
      </c>
      <c r="AD128" s="81">
        <v>40.358910894413427</v>
      </c>
      <c r="AI128" s="65"/>
      <c r="AJ128" s="65"/>
      <c r="AK128" s="65"/>
      <c r="AL128" s="65"/>
    </row>
    <row r="129" spans="1:38" ht="15" customHeight="1" x14ac:dyDescent="0.25">
      <c r="A129" s="82" t="s">
        <v>276</v>
      </c>
      <c r="B129" s="67">
        <v>5</v>
      </c>
      <c r="C129" s="67">
        <f t="shared" si="62"/>
        <v>14.3</v>
      </c>
      <c r="D129" s="67">
        <v>33.09750600240092</v>
      </c>
      <c r="E129" s="67">
        <v>45.591968667466944</v>
      </c>
      <c r="F129" s="67">
        <v>36.793829891956776</v>
      </c>
      <c r="G129" s="67">
        <v>36.292333613445393</v>
      </c>
      <c r="H129" s="67">
        <v>213.89573409363751</v>
      </c>
      <c r="I129" s="67">
        <v>215.12575606242521</v>
      </c>
      <c r="J129" s="67">
        <v>33.960193997599063</v>
      </c>
      <c r="K129" s="67">
        <v>154.33434237695081</v>
      </c>
      <c r="L129" s="67">
        <v>3.0793516206482514</v>
      </c>
      <c r="M129" s="67">
        <v>3.0672635054021629</v>
      </c>
      <c r="N129" s="67">
        <v>7.3772393757503334</v>
      </c>
      <c r="O129" s="67">
        <v>19.659590396158482</v>
      </c>
      <c r="P129" s="67">
        <v>21.775387635054013</v>
      </c>
      <c r="Q129" s="67">
        <v>19.338430252100849</v>
      </c>
      <c r="R129" s="67">
        <v>107.0859680672268</v>
      </c>
      <c r="S129" s="67">
        <v>-7.9675870348139225E-3</v>
      </c>
      <c r="T129" s="67">
        <f t="shared" si="52"/>
        <v>2.2319841584158269</v>
      </c>
      <c r="U129" s="67">
        <f t="shared" si="53"/>
        <v>5.144806930693079</v>
      </c>
      <c r="V129" s="67">
        <f t="shared" si="54"/>
        <v>130.71015522208882</v>
      </c>
      <c r="W129" s="67">
        <f t="shared" si="55"/>
        <v>5592.2492784689121</v>
      </c>
      <c r="X129" s="67">
        <f t="shared" si="56"/>
        <v>214.51074507803136</v>
      </c>
      <c r="Y129" s="67">
        <f t="shared" si="57"/>
        <v>215.12575606242521</v>
      </c>
      <c r="Z129" s="67">
        <f t="shared" si="58"/>
        <v>-9092.9258507156701</v>
      </c>
      <c r="AA129" s="67">
        <f t="shared" si="59"/>
        <v>0.69385702765802326</v>
      </c>
      <c r="AB129" s="67">
        <f t="shared" si="60"/>
        <v>990627.01504306425</v>
      </c>
      <c r="AC129" s="77">
        <f t="shared" si="61"/>
        <v>6871.4084133876831</v>
      </c>
      <c r="AD129" s="81">
        <v>70.959239469843041</v>
      </c>
      <c r="AI129" s="65"/>
      <c r="AJ129" s="65"/>
      <c r="AK129" s="65"/>
      <c r="AL129" s="65"/>
    </row>
    <row r="130" spans="1:38" ht="15" customHeight="1" x14ac:dyDescent="0.25">
      <c r="A130" s="174" t="s">
        <v>275</v>
      </c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74"/>
      <c r="AA130" s="174"/>
      <c r="AB130" s="174"/>
      <c r="AC130" s="174"/>
      <c r="AD130" s="174"/>
      <c r="AE130" s="79"/>
      <c r="AF130" s="79"/>
      <c r="AI130" s="65"/>
      <c r="AJ130" s="65"/>
      <c r="AK130" s="65"/>
      <c r="AL130" s="65"/>
    </row>
    <row r="131" spans="1:38" ht="15" customHeight="1" x14ac:dyDescent="0.35">
      <c r="A131" s="71" t="s">
        <v>240</v>
      </c>
      <c r="B131" s="71" t="s">
        <v>195</v>
      </c>
      <c r="C131" s="71" t="s">
        <v>239</v>
      </c>
      <c r="D131" s="71" t="s">
        <v>238</v>
      </c>
      <c r="E131" s="71" t="s">
        <v>237</v>
      </c>
      <c r="F131" s="71" t="s">
        <v>236</v>
      </c>
      <c r="G131" s="71" t="s">
        <v>235</v>
      </c>
      <c r="H131" s="71" t="s">
        <v>234</v>
      </c>
      <c r="I131" s="71" t="s">
        <v>233</v>
      </c>
      <c r="J131" s="71" t="s">
        <v>232</v>
      </c>
      <c r="K131" s="71" t="s">
        <v>231</v>
      </c>
      <c r="L131" s="71" t="s">
        <v>230</v>
      </c>
      <c r="M131" s="71" t="s">
        <v>229</v>
      </c>
      <c r="N131" s="71" t="s">
        <v>228</v>
      </c>
      <c r="O131" s="71" t="s">
        <v>227</v>
      </c>
      <c r="P131" s="71" t="s">
        <v>226</v>
      </c>
      <c r="Q131" s="71" t="s">
        <v>225</v>
      </c>
      <c r="R131" s="71" t="s">
        <v>224</v>
      </c>
      <c r="S131" s="71" t="s">
        <v>223</v>
      </c>
      <c r="T131" s="69" t="s">
        <v>222</v>
      </c>
      <c r="U131" s="69" t="s">
        <v>221</v>
      </c>
      <c r="V131" s="69" t="s">
        <v>220</v>
      </c>
      <c r="W131" s="69" t="s">
        <v>219</v>
      </c>
      <c r="X131" s="69" t="s">
        <v>218</v>
      </c>
      <c r="Y131" s="69" t="s">
        <v>217</v>
      </c>
      <c r="Z131" s="69" t="s">
        <v>216</v>
      </c>
      <c r="AA131" s="73" t="s">
        <v>215</v>
      </c>
      <c r="AB131" s="69" t="s">
        <v>214</v>
      </c>
      <c r="AC131" s="69" t="s">
        <v>213</v>
      </c>
      <c r="AD131" s="69" t="s">
        <v>212</v>
      </c>
      <c r="AF131" s="80"/>
      <c r="AI131" s="65"/>
      <c r="AJ131" s="65"/>
      <c r="AK131" s="65"/>
      <c r="AL131" s="65"/>
    </row>
    <row r="132" spans="1:38" ht="15" customHeight="1" x14ac:dyDescent="0.25">
      <c r="A132" s="72"/>
      <c r="B132" s="71" t="s">
        <v>211</v>
      </c>
      <c r="C132" s="71" t="s">
        <v>210</v>
      </c>
      <c r="D132" s="71" t="s">
        <v>204</v>
      </c>
      <c r="E132" s="71" t="s">
        <v>204</v>
      </c>
      <c r="F132" s="71" t="s">
        <v>204</v>
      </c>
      <c r="G132" s="71" t="s">
        <v>204</v>
      </c>
      <c r="H132" s="71" t="s">
        <v>204</v>
      </c>
      <c r="I132" s="71" t="s">
        <v>204</v>
      </c>
      <c r="J132" s="71" t="s">
        <v>204</v>
      </c>
      <c r="K132" s="71" t="s">
        <v>206</v>
      </c>
      <c r="L132" s="71" t="s">
        <v>209</v>
      </c>
      <c r="M132" s="71" t="s">
        <v>209</v>
      </c>
      <c r="N132" s="71" t="s">
        <v>208</v>
      </c>
      <c r="O132" s="71" t="s">
        <v>204</v>
      </c>
      <c r="P132" s="71" t="s">
        <v>204</v>
      </c>
      <c r="Q132" s="71" t="s">
        <v>204</v>
      </c>
      <c r="R132" s="71" t="s">
        <v>206</v>
      </c>
      <c r="S132" s="71" t="s">
        <v>207</v>
      </c>
      <c r="T132" s="69" t="s">
        <v>204</v>
      </c>
      <c r="U132" s="69" t="s">
        <v>204</v>
      </c>
      <c r="V132" s="69" t="s">
        <v>206</v>
      </c>
      <c r="W132" s="69" t="s">
        <v>4</v>
      </c>
      <c r="X132" s="69" t="s">
        <v>204</v>
      </c>
      <c r="Y132" s="69" t="s">
        <v>204</v>
      </c>
      <c r="Z132" s="69" t="s">
        <v>205</v>
      </c>
      <c r="AA132" s="70"/>
      <c r="AB132" s="69" t="s">
        <v>4</v>
      </c>
      <c r="AC132" s="69" t="s">
        <v>205</v>
      </c>
      <c r="AD132" s="69" t="s">
        <v>204</v>
      </c>
      <c r="AF132" s="80"/>
      <c r="AI132" s="65"/>
      <c r="AJ132" s="65"/>
      <c r="AK132" s="65"/>
      <c r="AL132" s="65"/>
    </row>
    <row r="133" spans="1:38" ht="15" customHeight="1" x14ac:dyDescent="0.25">
      <c r="A133" s="68" t="s">
        <v>274</v>
      </c>
      <c r="B133" s="67">
        <v>5</v>
      </c>
      <c r="C133" s="67">
        <f t="shared" ref="C133:C150" si="63">ROUND(((B133/1000)/(9*PI()*1240))*10^8,1)</f>
        <v>14.3</v>
      </c>
      <c r="D133" s="66">
        <v>30.177484158415844</v>
      </c>
      <c r="E133" s="66">
        <v>35.545992079207927</v>
      </c>
      <c r="F133" s="66">
        <v>31.798455445544562</v>
      </c>
      <c r="G133" s="66">
        <v>28.113614851485149</v>
      </c>
      <c r="H133" s="66">
        <v>125.12314356435638</v>
      </c>
      <c r="I133" s="66">
        <v>121.66148910891084</v>
      </c>
      <c r="J133" s="66">
        <v>30.455696039603957</v>
      </c>
      <c r="K133" s="66">
        <v>70.189979207920814</v>
      </c>
      <c r="L133" s="66">
        <v>3.0088851485148544</v>
      </c>
      <c r="M133" s="66">
        <v>2.9969188118811876</v>
      </c>
      <c r="N133" s="66">
        <v>7.5045653465346502</v>
      </c>
      <c r="O133" s="66">
        <v>23.668901980198005</v>
      </c>
      <c r="P133" s="66">
        <v>37.238102970297028</v>
      </c>
      <c r="Q133" s="66">
        <v>23.739945544554448</v>
      </c>
      <c r="R133" s="66">
        <v>46.810406930693055</v>
      </c>
      <c r="S133" s="66">
        <v>4.9316831683168326E-2</v>
      </c>
      <c r="T133" s="67">
        <f t="shared" ref="T133:T150" si="64">H133-I133</f>
        <v>3.4616544554455402</v>
      </c>
      <c r="U133" s="66">
        <f t="shared" ref="U133:U150" si="65">E133-D133</f>
        <v>5.3685079207920836</v>
      </c>
      <c r="V133" s="66">
        <f t="shared" ref="V133:V150" si="66">(K133+R133)/2</f>
        <v>58.500193069306931</v>
      </c>
      <c r="W133" s="66">
        <f t="shared" ref="W133:W150" si="67">V133/(PI()*0.006*1.24)</f>
        <v>2502.848091078074</v>
      </c>
      <c r="X133" s="66">
        <f t="shared" ref="X133:X150" si="68">(H133+I133)/2</f>
        <v>123.39231633663361</v>
      </c>
      <c r="Y133" s="66">
        <f t="shared" ref="Y133:Y150" si="69">I133</f>
        <v>121.66148910891084</v>
      </c>
      <c r="Z133" s="66">
        <f t="shared" ref="Z133:Z150" si="70">W133/(X133-I133)</f>
        <v>1446.0415522646031</v>
      </c>
      <c r="AA133" s="66">
        <f t="shared" ref="AA133:AA150" si="71">R133/K133</f>
        <v>0.66691011251091215</v>
      </c>
      <c r="AB133" s="66">
        <f t="shared" ref="AB133:AB150" si="72">V133/(PI()*0.006*0.007)</f>
        <v>443361.66184811591</v>
      </c>
      <c r="AC133" s="77">
        <f t="shared" ref="AC133:AC150" si="73">AB133/(Y133-P133)</f>
        <v>5251.6450965395461</v>
      </c>
      <c r="AD133" s="76">
        <v>37.238102970297028</v>
      </c>
      <c r="AI133" s="65"/>
      <c r="AJ133" s="64"/>
      <c r="AK133" s="64"/>
      <c r="AL133" s="65"/>
    </row>
    <row r="134" spans="1:38" ht="15" customHeight="1" x14ac:dyDescent="0.25">
      <c r="A134" s="68" t="s">
        <v>273</v>
      </c>
      <c r="B134" s="67">
        <v>5</v>
      </c>
      <c r="C134" s="67">
        <f t="shared" si="63"/>
        <v>14.3</v>
      </c>
      <c r="D134" s="67">
        <v>40.310506930693066</v>
      </c>
      <c r="E134" s="67">
        <v>45.630920792079216</v>
      </c>
      <c r="F134" s="67">
        <v>38.746582178217821</v>
      </c>
      <c r="G134" s="67">
        <v>37.948696039603966</v>
      </c>
      <c r="H134" s="67">
        <v>127.04830495049505</v>
      </c>
      <c r="I134" s="67">
        <v>123.81069504950497</v>
      </c>
      <c r="J134" s="67">
        <v>30.642589108910894</v>
      </c>
      <c r="K134" s="67">
        <v>70.607572277227732</v>
      </c>
      <c r="L134" s="67">
        <v>3.0059445544554402</v>
      </c>
      <c r="M134" s="67">
        <v>2.9942702970297059</v>
      </c>
      <c r="N134" s="67">
        <v>7.4902851485148556</v>
      </c>
      <c r="O134" s="67">
        <v>23.828126732673258</v>
      </c>
      <c r="P134" s="67">
        <v>46.864144554455436</v>
      </c>
      <c r="Q134" s="67">
        <v>23.877296039603966</v>
      </c>
      <c r="R134" s="67">
        <v>46.299599009901002</v>
      </c>
      <c r="S134" s="67">
        <v>4.5855445544554438E-2</v>
      </c>
      <c r="T134" s="67">
        <f t="shared" si="64"/>
        <v>3.2376099009900798</v>
      </c>
      <c r="U134" s="66">
        <f t="shared" si="65"/>
        <v>5.3204138613861502</v>
      </c>
      <c r="V134" s="66">
        <f t="shared" si="66"/>
        <v>58.453585643564367</v>
      </c>
      <c r="W134" s="66">
        <f t="shared" si="67"/>
        <v>2500.8540582308378</v>
      </c>
      <c r="X134" s="66">
        <f t="shared" si="68"/>
        <v>125.42950000000002</v>
      </c>
      <c r="Y134" s="66">
        <f t="shared" si="69"/>
        <v>123.81069504950497</v>
      </c>
      <c r="Z134" s="66">
        <f t="shared" si="70"/>
        <v>1544.8767051682485</v>
      </c>
      <c r="AA134" s="66">
        <f t="shared" si="71"/>
        <v>0.65573135453679221</v>
      </c>
      <c r="AB134" s="66">
        <f t="shared" si="72"/>
        <v>443008.43317231984</v>
      </c>
      <c r="AC134" s="77">
        <f t="shared" si="73"/>
        <v>5757.352737999885</v>
      </c>
      <c r="AD134" s="76">
        <v>46.864144554455436</v>
      </c>
      <c r="AI134" s="65"/>
      <c r="AJ134" s="64"/>
      <c r="AK134" s="64"/>
      <c r="AL134" s="65"/>
    </row>
    <row r="135" spans="1:38" ht="15" customHeight="1" x14ac:dyDescent="0.25">
      <c r="A135" s="68" t="s">
        <v>272</v>
      </c>
      <c r="B135" s="67">
        <v>5</v>
      </c>
      <c r="C135" s="67">
        <f t="shared" si="63"/>
        <v>14.3</v>
      </c>
      <c r="D135" s="67">
        <v>50.741405940594035</v>
      </c>
      <c r="E135" s="67">
        <v>55.886212871287114</v>
      </c>
      <c r="F135" s="67">
        <v>45.258275247524772</v>
      </c>
      <c r="G135" s="67">
        <v>44.537318811881185</v>
      </c>
      <c r="H135" s="67">
        <v>128.66736930693068</v>
      </c>
      <c r="I135" s="67">
        <v>126.43538514851485</v>
      </c>
      <c r="J135" s="67">
        <v>28.317147524752478</v>
      </c>
      <c r="K135" s="67">
        <v>70.219415841584137</v>
      </c>
      <c r="L135" s="67">
        <v>2.9647940594059379</v>
      </c>
      <c r="M135" s="67">
        <v>2.9531415841584185</v>
      </c>
      <c r="N135" s="67">
        <v>7.4827871287128778</v>
      </c>
      <c r="O135" s="67">
        <v>22.439868316831681</v>
      </c>
      <c r="P135" s="67">
        <v>56.680630693069304</v>
      </c>
      <c r="Q135" s="67">
        <v>22.448758415841588</v>
      </c>
      <c r="R135" s="67">
        <v>44.749762376237619</v>
      </c>
      <c r="S135" s="67">
        <v>3.1784158415841583E-2</v>
      </c>
      <c r="T135" s="67">
        <f t="shared" si="64"/>
        <v>2.2319841584158269</v>
      </c>
      <c r="U135" s="66">
        <f t="shared" si="65"/>
        <v>5.144806930693079</v>
      </c>
      <c r="V135" s="66">
        <f t="shared" si="66"/>
        <v>57.484589108910882</v>
      </c>
      <c r="W135" s="66">
        <f t="shared" si="67"/>
        <v>2459.3969108305641</v>
      </c>
      <c r="X135" s="66">
        <f t="shared" si="68"/>
        <v>127.55137722772277</v>
      </c>
      <c r="Y135" s="66">
        <f t="shared" si="69"/>
        <v>126.43538514851485</v>
      </c>
      <c r="Z135" s="66">
        <f t="shared" si="70"/>
        <v>2203.7763140542588</v>
      </c>
      <c r="AA135" s="66">
        <f t="shared" si="71"/>
        <v>0.63728474297185311</v>
      </c>
      <c r="AB135" s="66">
        <f t="shared" si="72"/>
        <v>435664.59563284268</v>
      </c>
      <c r="AC135" s="77">
        <f t="shared" si="73"/>
        <v>6245.6616618314483</v>
      </c>
      <c r="AD135" s="76">
        <v>56.680630693069304</v>
      </c>
      <c r="AI135" s="65"/>
      <c r="AJ135" s="64"/>
      <c r="AK135" s="64"/>
      <c r="AL135" s="65"/>
    </row>
    <row r="136" spans="1:38" ht="15" customHeight="1" x14ac:dyDescent="0.25">
      <c r="A136" s="68" t="s">
        <v>271</v>
      </c>
      <c r="B136" s="67">
        <v>5</v>
      </c>
      <c r="C136" s="67">
        <f t="shared" si="63"/>
        <v>14.3</v>
      </c>
      <c r="D136" s="67">
        <v>59.816121782178193</v>
      </c>
      <c r="E136" s="67">
        <v>64.809279207920738</v>
      </c>
      <c r="F136" s="67">
        <v>51.744935643564354</v>
      </c>
      <c r="G136" s="67">
        <v>50.590798019801973</v>
      </c>
      <c r="H136" s="67">
        <v>131.36896534653468</v>
      </c>
      <c r="I136" s="67">
        <v>129.54859999999999</v>
      </c>
      <c r="J136" s="67">
        <v>28.584909900990102</v>
      </c>
      <c r="K136" s="67">
        <v>70.198609900990107</v>
      </c>
      <c r="L136" s="67">
        <v>2.9653702970297036</v>
      </c>
      <c r="M136" s="67">
        <v>2.9540108910891107</v>
      </c>
      <c r="N136" s="67">
        <v>7.5112346534653396</v>
      </c>
      <c r="O136" s="67">
        <v>22.707598019801974</v>
      </c>
      <c r="P136" s="67">
        <v>65.630467326732656</v>
      </c>
      <c r="Q136" s="67">
        <v>22.964555445544548</v>
      </c>
      <c r="R136" s="67">
        <v>43.630598019801994</v>
      </c>
      <c r="S136" s="67">
        <v>2.5934653465346531E-2</v>
      </c>
      <c r="T136" s="67">
        <f t="shared" si="64"/>
        <v>1.8203653465346861</v>
      </c>
      <c r="U136" s="66">
        <f t="shared" si="65"/>
        <v>4.9931574257425453</v>
      </c>
      <c r="V136" s="66">
        <f t="shared" si="66"/>
        <v>56.91460396039605</v>
      </c>
      <c r="W136" s="66">
        <f t="shared" si="67"/>
        <v>2435.0109017243535</v>
      </c>
      <c r="X136" s="66">
        <f t="shared" si="68"/>
        <v>130.45878267326734</v>
      </c>
      <c r="Y136" s="66">
        <f t="shared" si="69"/>
        <v>129.54859999999999</v>
      </c>
      <c r="Z136" s="66">
        <f t="shared" si="70"/>
        <v>2675.2991165863809</v>
      </c>
      <c r="AA136" s="66">
        <f t="shared" si="71"/>
        <v>0.6215307978511212</v>
      </c>
      <c r="AB136" s="66">
        <f t="shared" si="72"/>
        <v>431344.78830545681</v>
      </c>
      <c r="AC136" s="77">
        <f t="shared" si="73"/>
        <v>6748.3947084370848</v>
      </c>
      <c r="AD136" s="76">
        <v>65.630467326732656</v>
      </c>
      <c r="AI136" s="65"/>
      <c r="AJ136" s="64"/>
      <c r="AK136" s="64"/>
      <c r="AL136" s="65"/>
    </row>
    <row r="137" spans="1:38" ht="15" customHeight="1" x14ac:dyDescent="0.25">
      <c r="A137" s="68" t="s">
        <v>270</v>
      </c>
      <c r="B137" s="67">
        <v>5</v>
      </c>
      <c r="C137" s="67">
        <f t="shared" si="63"/>
        <v>14.3</v>
      </c>
      <c r="D137" s="67">
        <v>70.523165346534626</v>
      </c>
      <c r="E137" s="67">
        <v>75.147123762376239</v>
      </c>
      <c r="F137" s="67">
        <v>58.507527722772267</v>
      </c>
      <c r="G137" s="67">
        <v>57.193311881188116</v>
      </c>
      <c r="H137" s="67">
        <v>134.3644099009901</v>
      </c>
      <c r="I137" s="67">
        <v>132.77310099009904</v>
      </c>
      <c r="J137" s="67">
        <v>28.394473267326731</v>
      </c>
      <c r="K137" s="67">
        <v>70.407248514851489</v>
      </c>
      <c r="L137" s="67">
        <v>2.9677534653465396</v>
      </c>
      <c r="M137" s="67">
        <v>2.9573574257425737</v>
      </c>
      <c r="N137" s="67">
        <v>7.5058920792079178</v>
      </c>
      <c r="O137" s="67">
        <v>22.981431683168317</v>
      </c>
      <c r="P137" s="67">
        <v>76.150848514851504</v>
      </c>
      <c r="Q137" s="67">
        <v>23.520793069306933</v>
      </c>
      <c r="R137" s="67">
        <v>40.437130693069307</v>
      </c>
      <c r="S137" s="67">
        <v>2.2600990099009888E-2</v>
      </c>
      <c r="T137" s="67">
        <f t="shared" si="64"/>
        <v>1.5913089108910583</v>
      </c>
      <c r="U137" s="66">
        <f t="shared" si="65"/>
        <v>4.6239584158416136</v>
      </c>
      <c r="V137" s="66">
        <f t="shared" si="66"/>
        <v>55.422189603960398</v>
      </c>
      <c r="W137" s="66">
        <f t="shared" si="67"/>
        <v>2371.1600624856319</v>
      </c>
      <c r="X137" s="66">
        <f t="shared" si="68"/>
        <v>133.56875544554458</v>
      </c>
      <c r="Y137" s="66">
        <f t="shared" si="69"/>
        <v>132.77310099009904</v>
      </c>
      <c r="Z137" s="66">
        <f t="shared" si="70"/>
        <v>2980.1379810760327</v>
      </c>
      <c r="AA137" s="66">
        <f t="shared" si="71"/>
        <v>0.57433192669842259</v>
      </c>
      <c r="AB137" s="66">
        <f t="shared" si="72"/>
        <v>420034.06821174046</v>
      </c>
      <c r="AC137" s="77">
        <f t="shared" si="73"/>
        <v>7418.1801297177062</v>
      </c>
      <c r="AD137" s="76">
        <v>76.150848514851504</v>
      </c>
      <c r="AI137" s="65"/>
      <c r="AJ137" s="64"/>
      <c r="AK137" s="64"/>
      <c r="AL137" s="65"/>
    </row>
    <row r="138" spans="1:38" ht="15" customHeight="1" x14ac:dyDescent="0.25">
      <c r="A138" s="68" t="s">
        <v>269</v>
      </c>
      <c r="B138" s="67">
        <v>5</v>
      </c>
      <c r="C138" s="67">
        <f t="shared" si="63"/>
        <v>14.3</v>
      </c>
      <c r="D138" s="67">
        <v>80.505423762376211</v>
      </c>
      <c r="E138" s="67">
        <v>85.066811881188144</v>
      </c>
      <c r="F138" s="67">
        <v>64.91699306930694</v>
      </c>
      <c r="G138" s="67">
        <v>63.101849504950493</v>
      </c>
      <c r="H138" s="67">
        <v>138.42239207920792</v>
      </c>
      <c r="I138" s="67">
        <v>136.48707623762377</v>
      </c>
      <c r="J138" s="67">
        <v>30.690590099009892</v>
      </c>
      <c r="K138" s="67">
        <v>70.027228712871278</v>
      </c>
      <c r="L138" s="67">
        <v>3.0653306930693076</v>
      </c>
      <c r="M138" s="67">
        <v>3.0537257425742568</v>
      </c>
      <c r="N138" s="67">
        <v>7.505523762376229</v>
      </c>
      <c r="O138" s="67">
        <v>23.539298019801986</v>
      </c>
      <c r="P138" s="67">
        <v>86.199047524752487</v>
      </c>
      <c r="Q138" s="67">
        <v>23.815435643564363</v>
      </c>
      <c r="R138" s="67">
        <v>39.943843564356456</v>
      </c>
      <c r="S138" s="67">
        <v>2.7640594059405953E-2</v>
      </c>
      <c r="T138" s="67">
        <f t="shared" si="64"/>
        <v>1.9353158415841563</v>
      </c>
      <c r="U138" s="66">
        <f t="shared" si="65"/>
        <v>4.5613881188119336</v>
      </c>
      <c r="V138" s="66">
        <f t="shared" si="66"/>
        <v>54.985536138613867</v>
      </c>
      <c r="W138" s="66">
        <f t="shared" si="67"/>
        <v>2352.4784610264637</v>
      </c>
      <c r="X138" s="66">
        <f t="shared" si="68"/>
        <v>137.45473415841585</v>
      </c>
      <c r="Y138" s="66">
        <f t="shared" si="69"/>
        <v>136.48707623762377</v>
      </c>
      <c r="Z138" s="66">
        <f t="shared" si="70"/>
        <v>2431.1054665897204</v>
      </c>
      <c r="AA138" s="66">
        <f t="shared" si="71"/>
        <v>0.57040445978714882</v>
      </c>
      <c r="AB138" s="66">
        <f t="shared" si="72"/>
        <v>416724.75595325924</v>
      </c>
      <c r="AC138" s="77">
        <f t="shared" si="73"/>
        <v>8286.7586306201356</v>
      </c>
      <c r="AD138" s="76">
        <v>86.199047524752487</v>
      </c>
      <c r="AI138" s="65"/>
      <c r="AJ138" s="64"/>
      <c r="AK138" s="64"/>
      <c r="AL138" s="65"/>
    </row>
    <row r="139" spans="1:38" ht="15" customHeight="1" x14ac:dyDescent="0.25">
      <c r="A139" s="68" t="s">
        <v>268</v>
      </c>
      <c r="B139" s="67">
        <v>5</v>
      </c>
      <c r="C139" s="67">
        <f t="shared" si="63"/>
        <v>14.3</v>
      </c>
      <c r="D139" s="67">
        <v>90.555207920792085</v>
      </c>
      <c r="E139" s="67">
        <v>95.10318910891084</v>
      </c>
      <c r="F139" s="67">
        <v>71.225354455445554</v>
      </c>
      <c r="G139" s="67">
        <v>69.527310891089101</v>
      </c>
      <c r="H139" s="67">
        <v>140.84386435643563</v>
      </c>
      <c r="I139" s="67">
        <v>139.39020594059406</v>
      </c>
      <c r="J139" s="67">
        <v>31.249734653465353</v>
      </c>
      <c r="K139" s="67">
        <v>70.232254455445542</v>
      </c>
      <c r="L139" s="67">
        <v>2.9814722772277213</v>
      </c>
      <c r="M139" s="67">
        <v>2.9695514851485156</v>
      </c>
      <c r="N139" s="67">
        <v>7.5058257425742481</v>
      </c>
      <c r="O139" s="67">
        <v>23.761834653465339</v>
      </c>
      <c r="P139" s="67">
        <v>95.907550495049477</v>
      </c>
      <c r="Q139" s="67">
        <v>24.251241584158414</v>
      </c>
      <c r="R139" s="67">
        <v>39.909505940594066</v>
      </c>
      <c r="S139" s="67">
        <v>2.0698019801980189E-2</v>
      </c>
      <c r="T139" s="67">
        <f t="shared" si="64"/>
        <v>1.4536584158415735</v>
      </c>
      <c r="U139" s="66">
        <f t="shared" si="65"/>
        <v>4.5479811881187544</v>
      </c>
      <c r="V139" s="66">
        <f t="shared" si="66"/>
        <v>55.070880198019807</v>
      </c>
      <c r="W139" s="66">
        <f t="shared" si="67"/>
        <v>2356.1297860044165</v>
      </c>
      <c r="X139" s="66">
        <f t="shared" si="68"/>
        <v>140.11703514851484</v>
      </c>
      <c r="Y139" s="66">
        <f t="shared" si="69"/>
        <v>139.39020594059406</v>
      </c>
      <c r="Z139" s="66">
        <f t="shared" si="70"/>
        <v>3241.6553439624545</v>
      </c>
      <c r="AA139" s="66">
        <f t="shared" si="71"/>
        <v>0.56825038936934813</v>
      </c>
      <c r="AB139" s="66">
        <f t="shared" si="72"/>
        <v>417371.56209221081</v>
      </c>
      <c r="AC139" s="77">
        <f t="shared" si="73"/>
        <v>9598.5757497010563</v>
      </c>
      <c r="AD139" s="76">
        <v>95.907550495049477</v>
      </c>
      <c r="AI139" s="65"/>
      <c r="AJ139" s="64"/>
      <c r="AK139" s="64"/>
      <c r="AL139" s="65"/>
    </row>
    <row r="140" spans="1:38" ht="15" customHeight="1" x14ac:dyDescent="0.25">
      <c r="A140" s="68" t="s">
        <v>267</v>
      </c>
      <c r="B140" s="67">
        <v>5</v>
      </c>
      <c r="C140" s="67">
        <f t="shared" si="63"/>
        <v>14.3</v>
      </c>
      <c r="D140" s="67">
        <v>100.18795445544559</v>
      </c>
      <c r="E140" s="67">
        <v>104.64976831683174</v>
      </c>
      <c r="F140" s="67">
        <v>78.00135544554459</v>
      </c>
      <c r="G140" s="67">
        <v>75.899013861386138</v>
      </c>
      <c r="H140" s="67">
        <v>144.87213267326734</v>
      </c>
      <c r="I140" s="67">
        <v>143.57912475247528</v>
      </c>
      <c r="J140" s="67">
        <v>30.828676237623757</v>
      </c>
      <c r="K140" s="67">
        <v>70.647916831683148</v>
      </c>
      <c r="L140" s="67">
        <v>3.0007108910891089</v>
      </c>
      <c r="M140" s="67">
        <v>2.9878643564356424</v>
      </c>
      <c r="N140" s="67">
        <v>7.4869673267326684</v>
      </c>
      <c r="O140" s="67">
        <v>23.756337623762381</v>
      </c>
      <c r="P140" s="67">
        <v>106.51597821782175</v>
      </c>
      <c r="Q140" s="67">
        <v>24.440940594059406</v>
      </c>
      <c r="R140" s="67">
        <v>39.149975247524758</v>
      </c>
      <c r="S140" s="67">
        <v>1.83E-2</v>
      </c>
      <c r="T140" s="67">
        <f t="shared" si="64"/>
        <v>1.2930079207920642</v>
      </c>
      <c r="U140" s="66">
        <f t="shared" si="65"/>
        <v>4.4618138613861476</v>
      </c>
      <c r="V140" s="66">
        <f t="shared" si="66"/>
        <v>54.898946039603956</v>
      </c>
      <c r="W140" s="66">
        <f t="shared" si="67"/>
        <v>2348.7738260048927</v>
      </c>
      <c r="X140" s="66">
        <f t="shared" si="68"/>
        <v>144.2256287128713</v>
      </c>
      <c r="Y140" s="66">
        <f t="shared" si="69"/>
        <v>143.57912475247528</v>
      </c>
      <c r="Z140" s="66">
        <f t="shared" si="70"/>
        <v>3633.0385734468578</v>
      </c>
      <c r="AA140" s="66">
        <f t="shared" si="71"/>
        <v>0.55415611674437015</v>
      </c>
      <c r="AB140" s="66">
        <f t="shared" si="72"/>
        <v>416068.50632086664</v>
      </c>
      <c r="AC140" s="77">
        <f t="shared" si="73"/>
        <v>11225.935874922232</v>
      </c>
      <c r="AD140" s="76">
        <v>106.51597821782175</v>
      </c>
      <c r="AI140" s="65"/>
      <c r="AJ140" s="64"/>
      <c r="AK140" s="64"/>
      <c r="AL140" s="65"/>
    </row>
    <row r="141" spans="1:38" ht="15" customHeight="1" x14ac:dyDescent="0.25">
      <c r="A141" s="68" t="s">
        <v>266</v>
      </c>
      <c r="B141" s="67">
        <v>5</v>
      </c>
      <c r="C141" s="67">
        <f t="shared" si="63"/>
        <v>14.3</v>
      </c>
      <c r="D141" s="67">
        <v>110.60544059405946</v>
      </c>
      <c r="E141" s="67">
        <v>115.09743861386139</v>
      </c>
      <c r="F141" s="67">
        <v>85.025147524752455</v>
      </c>
      <c r="G141" s="67">
        <v>80.784975247524727</v>
      </c>
      <c r="H141" s="67">
        <v>147.99252871287129</v>
      </c>
      <c r="I141" s="67">
        <v>147.17154257425744</v>
      </c>
      <c r="J141" s="67">
        <v>30.628963366336642</v>
      </c>
      <c r="K141" s="67">
        <v>70.293989108910907</v>
      </c>
      <c r="L141" s="67">
        <v>2.9838138613861376</v>
      </c>
      <c r="M141" s="67">
        <v>2.9674970297029706</v>
      </c>
      <c r="N141" s="67">
        <v>7.5009613861386182</v>
      </c>
      <c r="O141" s="67">
        <v>23.42009306930693</v>
      </c>
      <c r="P141" s="67">
        <v>116.49972970297028</v>
      </c>
      <c r="Q141" s="67">
        <v>23.894803960396029</v>
      </c>
      <c r="R141" s="67">
        <v>39.612766336633662</v>
      </c>
      <c r="S141" s="67">
        <v>1.1680198019801981E-2</v>
      </c>
      <c r="T141" s="67">
        <f t="shared" si="64"/>
        <v>0.82098613861384706</v>
      </c>
      <c r="U141" s="66">
        <f t="shared" si="65"/>
        <v>4.491998019801926</v>
      </c>
      <c r="V141" s="66">
        <f t="shared" si="66"/>
        <v>54.953377722772288</v>
      </c>
      <c r="W141" s="66">
        <f t="shared" si="67"/>
        <v>2351.1026086492616</v>
      </c>
      <c r="X141" s="66">
        <f t="shared" si="68"/>
        <v>147.58203564356438</v>
      </c>
      <c r="Y141" s="66">
        <f t="shared" si="69"/>
        <v>147.17154257425744</v>
      </c>
      <c r="Z141" s="66">
        <f t="shared" si="70"/>
        <v>5727.5086583527018</v>
      </c>
      <c r="AA141" s="66">
        <f t="shared" si="71"/>
        <v>0.56352992394924561</v>
      </c>
      <c r="AB141" s="66">
        <f t="shared" si="72"/>
        <v>416481.03353215486</v>
      </c>
      <c r="AC141" s="77">
        <f t="shared" si="73"/>
        <v>13578.624624501272</v>
      </c>
      <c r="AD141" s="76">
        <v>116.49972970297028</v>
      </c>
      <c r="AI141" s="65"/>
      <c r="AJ141" s="64"/>
      <c r="AK141" s="64"/>
      <c r="AL141" s="65"/>
    </row>
    <row r="142" spans="1:38" ht="15" customHeight="1" x14ac:dyDescent="0.25">
      <c r="A142" s="68" t="s">
        <v>265</v>
      </c>
      <c r="B142" s="67">
        <v>5</v>
      </c>
      <c r="C142" s="67">
        <f t="shared" si="63"/>
        <v>14.3</v>
      </c>
      <c r="D142" s="67">
        <v>30.603599009901007</v>
      </c>
      <c r="E142" s="67">
        <v>44.753793069306923</v>
      </c>
      <c r="F142" s="67">
        <v>36.845878217821799</v>
      </c>
      <c r="G142" s="67">
        <v>19.700467326732682</v>
      </c>
      <c r="H142" s="67">
        <v>145.35666732673278</v>
      </c>
      <c r="I142" s="67">
        <v>142.08890198019802</v>
      </c>
      <c r="J142" s="67">
        <v>33.376049504950501</v>
      </c>
      <c r="K142" s="67">
        <v>156.80358811881189</v>
      </c>
      <c r="L142" s="67">
        <v>2.9883504950495072</v>
      </c>
      <c r="M142" s="67">
        <v>2.9763693069306925</v>
      </c>
      <c r="N142" s="67">
        <v>7.5186623762376241</v>
      </c>
      <c r="O142" s="67">
        <v>24.23155346534654</v>
      </c>
      <c r="P142" s="67">
        <v>47.366065346534654</v>
      </c>
      <c r="Q142" s="67">
        <v>24.674765346534659</v>
      </c>
      <c r="R142" s="67">
        <v>123.61217425742574</v>
      </c>
      <c r="S142" s="67">
        <v>2.0836633663366334E-2</v>
      </c>
      <c r="T142" s="67">
        <f t="shared" si="64"/>
        <v>3.2677653465347589</v>
      </c>
      <c r="U142" s="66">
        <f t="shared" si="65"/>
        <v>14.150194059405916</v>
      </c>
      <c r="V142" s="66">
        <f t="shared" si="66"/>
        <v>140.20788118811882</v>
      </c>
      <c r="W142" s="66">
        <f t="shared" si="67"/>
        <v>5998.5960622393213</v>
      </c>
      <c r="X142" s="66">
        <f t="shared" si="68"/>
        <v>143.7227846534654</v>
      </c>
      <c r="Y142" s="66">
        <f t="shared" si="69"/>
        <v>142.08890198019802</v>
      </c>
      <c r="Z142" s="66">
        <f t="shared" si="70"/>
        <v>3671.3750383578927</v>
      </c>
      <c r="AA142" s="66">
        <f t="shared" si="71"/>
        <v>0.78832490850759973</v>
      </c>
      <c r="AB142" s="66">
        <f t="shared" si="72"/>
        <v>1062608.4453109652</v>
      </c>
      <c r="AC142" s="77">
        <f t="shared" si="73"/>
        <v>11218.080909259075</v>
      </c>
      <c r="AD142" s="76">
        <v>47.366065346534654</v>
      </c>
      <c r="AI142" s="65"/>
      <c r="AJ142" s="64"/>
      <c r="AK142" s="64"/>
      <c r="AL142" s="65"/>
    </row>
    <row r="143" spans="1:38" ht="15" customHeight="1" x14ac:dyDescent="0.25">
      <c r="A143" s="68" t="s">
        <v>264</v>
      </c>
      <c r="B143" s="67">
        <v>5</v>
      </c>
      <c r="C143" s="67">
        <f t="shared" si="63"/>
        <v>14.3</v>
      </c>
      <c r="D143" s="67">
        <v>40.680615841584164</v>
      </c>
      <c r="E143" s="67">
        <v>54.301085148514851</v>
      </c>
      <c r="F143" s="67">
        <v>44.284254455445556</v>
      </c>
      <c r="G143" s="67">
        <v>39.289442574257421</v>
      </c>
      <c r="H143" s="67">
        <v>147.30116138613852</v>
      </c>
      <c r="I143" s="67">
        <v>143.69306039603958</v>
      </c>
      <c r="J143" s="67">
        <v>32.807551485148522</v>
      </c>
      <c r="K143" s="67">
        <v>153.9775495049505</v>
      </c>
      <c r="L143" s="67">
        <v>2.9640643564356446</v>
      </c>
      <c r="M143" s="67">
        <v>2.9526772277227686</v>
      </c>
      <c r="N143" s="67">
        <v>7.4986287128712918</v>
      </c>
      <c r="O143" s="67">
        <v>23.669443564356428</v>
      </c>
      <c r="P143" s="67">
        <v>60.173828712871305</v>
      </c>
      <c r="Q143" s="67">
        <v>23.981988118811877</v>
      </c>
      <c r="R143" s="67">
        <v>118.66258613861389</v>
      </c>
      <c r="S143" s="67">
        <v>2.3431683168316838E-2</v>
      </c>
      <c r="T143" s="67">
        <f t="shared" si="64"/>
        <v>3.6081009900989329</v>
      </c>
      <c r="U143" s="66">
        <f t="shared" si="65"/>
        <v>13.620469306930687</v>
      </c>
      <c r="V143" s="66">
        <f t="shared" si="66"/>
        <v>136.3200678217822</v>
      </c>
      <c r="W143" s="66">
        <f t="shared" si="67"/>
        <v>5832.2614614137256</v>
      </c>
      <c r="X143" s="66">
        <f t="shared" si="68"/>
        <v>145.49711089108905</v>
      </c>
      <c r="Y143" s="66">
        <f t="shared" si="69"/>
        <v>143.69306039603958</v>
      </c>
      <c r="Z143" s="66">
        <f t="shared" si="70"/>
        <v>3232.8704087929682</v>
      </c>
      <c r="AA143" s="66">
        <f t="shared" si="71"/>
        <v>0.77064862066010986</v>
      </c>
      <c r="AB143" s="66">
        <f t="shared" si="72"/>
        <v>1033143.4588790027</v>
      </c>
      <c r="AC143" s="77">
        <f t="shared" si="73"/>
        <v>12370.126473364258</v>
      </c>
      <c r="AD143" s="76">
        <v>60.173828712871305</v>
      </c>
      <c r="AI143" s="65"/>
      <c r="AJ143" s="64"/>
      <c r="AK143" s="64"/>
      <c r="AL143" s="65"/>
    </row>
    <row r="144" spans="1:38" ht="15" customHeight="1" x14ac:dyDescent="0.25">
      <c r="A144" s="68" t="s">
        <v>263</v>
      </c>
      <c r="B144" s="67">
        <v>5</v>
      </c>
      <c r="C144" s="67">
        <f t="shared" si="63"/>
        <v>14.3</v>
      </c>
      <c r="D144" s="67">
        <v>50.312510891089133</v>
      </c>
      <c r="E144" s="67">
        <v>64.355131683168324</v>
      </c>
      <c r="F144" s="67">
        <v>49.901431683168333</v>
      </c>
      <c r="G144" s="67">
        <v>43.95811188118811</v>
      </c>
      <c r="H144" s="67">
        <v>149.14297425742575</v>
      </c>
      <c r="I144" s="67">
        <v>145.77671188118808</v>
      </c>
      <c r="J144" s="67">
        <v>32.340749504950516</v>
      </c>
      <c r="K144" s="67">
        <v>155.09715049504945</v>
      </c>
      <c r="L144" s="67">
        <v>3.0101415841584158</v>
      </c>
      <c r="M144" s="67">
        <v>2.9986415841584164</v>
      </c>
      <c r="N144" s="67">
        <v>7.4827148514851496</v>
      </c>
      <c r="O144" s="67">
        <v>23.834397029702977</v>
      </c>
      <c r="P144" s="67">
        <v>70.713330693069324</v>
      </c>
      <c r="Q144" s="67">
        <v>24.168030693069309</v>
      </c>
      <c r="R144" s="67">
        <v>122.13836534653464</v>
      </c>
      <c r="S144" s="67">
        <v>2.1706930693069292E-2</v>
      </c>
      <c r="T144" s="67">
        <f t="shared" si="64"/>
        <v>3.3662623762376711</v>
      </c>
      <c r="U144" s="66">
        <f t="shared" si="65"/>
        <v>14.042620792079191</v>
      </c>
      <c r="V144" s="66">
        <f t="shared" si="66"/>
        <v>138.61775792079203</v>
      </c>
      <c r="W144" s="66">
        <f t="shared" si="67"/>
        <v>5930.5648853252096</v>
      </c>
      <c r="X144" s="66">
        <f t="shared" si="68"/>
        <v>147.45984306930691</v>
      </c>
      <c r="Y144" s="66">
        <f t="shared" si="69"/>
        <v>145.77671188118808</v>
      </c>
      <c r="Z144" s="66">
        <f t="shared" si="70"/>
        <v>3523.5309803471414</v>
      </c>
      <c r="AA144" s="66">
        <f t="shared" si="71"/>
        <v>0.78749586924508441</v>
      </c>
      <c r="AB144" s="66">
        <f t="shared" si="72"/>
        <v>1050557.2082576083</v>
      </c>
      <c r="AC144" s="77">
        <f t="shared" si="73"/>
        <v>13995.602004987933</v>
      </c>
      <c r="AD144" s="76">
        <v>70.713330693069324</v>
      </c>
      <c r="AI144" s="65"/>
      <c r="AJ144" s="64"/>
      <c r="AK144" s="64"/>
      <c r="AL144" s="65"/>
    </row>
    <row r="145" spans="1:38" ht="15" customHeight="1" x14ac:dyDescent="0.25">
      <c r="A145" s="68" t="s">
        <v>262</v>
      </c>
      <c r="B145" s="67">
        <v>5</v>
      </c>
      <c r="C145" s="67">
        <f t="shared" si="63"/>
        <v>14.3</v>
      </c>
      <c r="D145" s="67">
        <v>59.893207920792079</v>
      </c>
      <c r="E145" s="67">
        <v>73.172461386138664</v>
      </c>
      <c r="F145" s="67">
        <v>55.239376237623752</v>
      </c>
      <c r="G145" s="67">
        <v>48.298995049504967</v>
      </c>
      <c r="H145" s="67">
        <v>151.44792871287135</v>
      </c>
      <c r="I145" s="67">
        <v>148.56402673267328</v>
      </c>
      <c r="J145" s="67">
        <v>31.117487128712874</v>
      </c>
      <c r="K145" s="67">
        <v>154.49966336633662</v>
      </c>
      <c r="L145" s="67">
        <v>3.030494059405938</v>
      </c>
      <c r="M145" s="67">
        <v>3.0190356435643597</v>
      </c>
      <c r="N145" s="67">
        <v>7.5195851485148539</v>
      </c>
      <c r="O145" s="67">
        <v>23.506501980198006</v>
      </c>
      <c r="P145" s="67">
        <v>79.886075247524744</v>
      </c>
      <c r="Q145" s="67">
        <v>24.106819801980198</v>
      </c>
      <c r="R145" s="67">
        <v>116.16459306930693</v>
      </c>
      <c r="S145" s="67">
        <v>1.8668316831683174E-2</v>
      </c>
      <c r="T145" s="67">
        <f t="shared" si="64"/>
        <v>2.8839019801980612</v>
      </c>
      <c r="U145" s="66">
        <f t="shared" si="65"/>
        <v>13.279253465346585</v>
      </c>
      <c r="V145" s="66">
        <f t="shared" si="66"/>
        <v>135.33212821782178</v>
      </c>
      <c r="W145" s="66">
        <f t="shared" si="67"/>
        <v>5789.9938615625024</v>
      </c>
      <c r="X145" s="66">
        <f t="shared" si="68"/>
        <v>150.00597772277231</v>
      </c>
      <c r="Y145" s="66">
        <f t="shared" si="69"/>
        <v>148.56402673267328</v>
      </c>
      <c r="Z145" s="66">
        <f t="shared" si="70"/>
        <v>4015.388804001484</v>
      </c>
      <c r="AA145" s="66">
        <f t="shared" si="71"/>
        <v>0.7518760270296978</v>
      </c>
      <c r="AB145" s="66">
        <f t="shared" si="72"/>
        <v>1025656.055476786</v>
      </c>
      <c r="AC145" s="77">
        <f t="shared" si="73"/>
        <v>14934.284341584969</v>
      </c>
      <c r="AD145" s="76">
        <v>79.886075247524744</v>
      </c>
      <c r="AF145" s="60"/>
      <c r="AI145" s="65"/>
      <c r="AJ145" s="64"/>
      <c r="AK145" s="64"/>
      <c r="AL145" s="65"/>
    </row>
    <row r="146" spans="1:38" ht="15" customHeight="1" x14ac:dyDescent="0.25">
      <c r="A146" s="68" t="s">
        <v>261</v>
      </c>
      <c r="B146" s="67">
        <v>5</v>
      </c>
      <c r="C146" s="67">
        <f t="shared" si="63"/>
        <v>14.3</v>
      </c>
      <c r="D146" s="67">
        <v>70.611046534653468</v>
      </c>
      <c r="E146" s="67">
        <v>83.693807920792054</v>
      </c>
      <c r="F146" s="67">
        <v>60.475725742574227</v>
      </c>
      <c r="G146" s="67">
        <v>53.23060198019801</v>
      </c>
      <c r="H146" s="67">
        <v>153.92748811881188</v>
      </c>
      <c r="I146" s="67">
        <v>152.13725346534656</v>
      </c>
      <c r="J146" s="67">
        <v>30.623812871287136</v>
      </c>
      <c r="K146" s="67">
        <v>154.43467524752469</v>
      </c>
      <c r="L146" s="67">
        <v>2.9872861386138645</v>
      </c>
      <c r="M146" s="67">
        <v>2.9745069306930718</v>
      </c>
      <c r="N146" s="67">
        <v>7.4954811881188093</v>
      </c>
      <c r="O146" s="67">
        <v>22.934957425742574</v>
      </c>
      <c r="P146" s="67">
        <v>96.658369306930638</v>
      </c>
      <c r="Q146" s="67">
        <v>23.680529702970308</v>
      </c>
      <c r="R146" s="67">
        <v>114.23019801980203</v>
      </c>
      <c r="S146" s="67">
        <v>1.1591089108910891E-2</v>
      </c>
      <c r="T146" s="67">
        <f t="shared" si="64"/>
        <v>1.7902346534653191</v>
      </c>
      <c r="U146" s="66">
        <f t="shared" si="65"/>
        <v>13.082761386138586</v>
      </c>
      <c r="V146" s="66">
        <f t="shared" si="66"/>
        <v>134.33243663366335</v>
      </c>
      <c r="W146" s="66">
        <f t="shared" si="67"/>
        <v>5747.2234698457869</v>
      </c>
      <c r="X146" s="66">
        <f t="shared" si="68"/>
        <v>153.03237079207923</v>
      </c>
      <c r="Y146" s="66">
        <f t="shared" si="69"/>
        <v>152.13725346534656</v>
      </c>
      <c r="Z146" s="66">
        <f t="shared" si="70"/>
        <v>6420.6370474629321</v>
      </c>
      <c r="AA146" s="66">
        <f t="shared" si="71"/>
        <v>0.73966677390758417</v>
      </c>
      <c r="AB146" s="66">
        <f t="shared" si="72"/>
        <v>1018079.5860869678</v>
      </c>
      <c r="AC146" s="77">
        <f t="shared" si="73"/>
        <v>18350.75815836374</v>
      </c>
      <c r="AD146" s="76">
        <v>96.658369306930638</v>
      </c>
      <c r="AF146" s="60"/>
      <c r="AI146" s="65"/>
      <c r="AJ146" s="64"/>
      <c r="AK146" s="64"/>
      <c r="AL146" s="65"/>
    </row>
    <row r="147" spans="1:38" ht="15" customHeight="1" x14ac:dyDescent="0.25">
      <c r="A147" s="68" t="s">
        <v>260</v>
      </c>
      <c r="B147" s="67">
        <v>5</v>
      </c>
      <c r="C147" s="67">
        <f t="shared" si="63"/>
        <v>14.3</v>
      </c>
      <c r="D147" s="67">
        <v>80.709054455445582</v>
      </c>
      <c r="E147" s="67">
        <v>93.966433663366317</v>
      </c>
      <c r="F147" s="67">
        <v>67.036929702970298</v>
      </c>
      <c r="G147" s="67">
        <v>58.42197524752477</v>
      </c>
      <c r="H147" s="67">
        <v>156.86965049504954</v>
      </c>
      <c r="I147" s="67">
        <v>155.34531881188119</v>
      </c>
      <c r="J147" s="67">
        <v>30.642912871287134</v>
      </c>
      <c r="K147" s="67">
        <v>158.25002970297035</v>
      </c>
      <c r="L147" s="67">
        <v>3.0051900990099027</v>
      </c>
      <c r="M147" s="67">
        <v>2.9913465346534664</v>
      </c>
      <c r="N147" s="67">
        <v>7.5102881188118822</v>
      </c>
      <c r="O147" s="67">
        <v>22.904920792079206</v>
      </c>
      <c r="P147" s="67">
        <v>106.45705445544557</v>
      </c>
      <c r="Q147" s="67">
        <v>23.625679207920797</v>
      </c>
      <c r="R147" s="67">
        <v>116.17174356435642</v>
      </c>
      <c r="S147" s="67">
        <v>9.6306930693069361E-3</v>
      </c>
      <c r="T147" s="67">
        <f t="shared" si="64"/>
        <v>1.5243316831683558</v>
      </c>
      <c r="U147" s="66">
        <f t="shared" si="65"/>
        <v>13.257379207920735</v>
      </c>
      <c r="V147" s="66">
        <f t="shared" si="66"/>
        <v>137.21088663366339</v>
      </c>
      <c r="W147" s="66">
        <f t="shared" si="67"/>
        <v>5870.3738854218282</v>
      </c>
      <c r="X147" s="66">
        <f t="shared" si="68"/>
        <v>156.10748465346535</v>
      </c>
      <c r="Y147" s="66">
        <f t="shared" si="69"/>
        <v>155.34531881188119</v>
      </c>
      <c r="Z147" s="66">
        <f t="shared" si="70"/>
        <v>7702.2264251835804</v>
      </c>
      <c r="AA147" s="66">
        <f t="shared" si="71"/>
        <v>0.73410250716797099</v>
      </c>
      <c r="AB147" s="66">
        <f t="shared" si="72"/>
        <v>1039894.8025604379</v>
      </c>
      <c r="AC147" s="77">
        <f t="shared" si="73"/>
        <v>21270.84723193997</v>
      </c>
      <c r="AD147" s="76">
        <v>106.45705445544557</v>
      </c>
      <c r="AF147" s="60"/>
      <c r="AI147" s="65"/>
      <c r="AJ147" s="64"/>
      <c r="AK147" s="64"/>
      <c r="AL147" s="65"/>
    </row>
    <row r="148" spans="1:38" ht="15" customHeight="1" x14ac:dyDescent="0.25">
      <c r="A148" s="68" t="s">
        <v>259</v>
      </c>
      <c r="B148" s="67">
        <v>5</v>
      </c>
      <c r="C148" s="67">
        <f t="shared" si="63"/>
        <v>14.3</v>
      </c>
      <c r="D148" s="67">
        <v>90.482793069306979</v>
      </c>
      <c r="E148" s="67">
        <v>102.69882772277235</v>
      </c>
      <c r="F148" s="67">
        <v>74.91482772277223</v>
      </c>
      <c r="G148" s="67">
        <v>62.957972277227753</v>
      </c>
      <c r="H148" s="67">
        <v>158.45314257425736</v>
      </c>
      <c r="I148" s="67">
        <v>156.89380000000003</v>
      </c>
      <c r="J148" s="67">
        <v>31.879679207920784</v>
      </c>
      <c r="K148" s="67">
        <v>155.62291188118817</v>
      </c>
      <c r="L148" s="67">
        <v>2.9885881188118817</v>
      </c>
      <c r="M148" s="67">
        <v>2.9727871287128727</v>
      </c>
      <c r="N148" s="67">
        <v>7.4929772277227755</v>
      </c>
      <c r="O148" s="67">
        <v>23.314540594059402</v>
      </c>
      <c r="P148" s="67">
        <v>111.79410099009907</v>
      </c>
      <c r="Q148" s="67">
        <v>24.273917821782177</v>
      </c>
      <c r="R148" s="67">
        <v>107.01459702970297</v>
      </c>
      <c r="S148" s="67">
        <v>1.0024752475247522E-2</v>
      </c>
      <c r="T148" s="67">
        <f t="shared" si="64"/>
        <v>1.5593425742573288</v>
      </c>
      <c r="U148" s="66">
        <f t="shared" si="65"/>
        <v>12.216034653465371</v>
      </c>
      <c r="V148" s="66">
        <f t="shared" si="66"/>
        <v>131.31875445544557</v>
      </c>
      <c r="W148" s="66">
        <f t="shared" si="67"/>
        <v>5618.2873366276926</v>
      </c>
      <c r="X148" s="66">
        <f t="shared" si="68"/>
        <v>157.67347128712868</v>
      </c>
      <c r="Y148" s="66">
        <f t="shared" si="69"/>
        <v>156.89380000000003</v>
      </c>
      <c r="Z148" s="66">
        <f t="shared" si="70"/>
        <v>7205.9692711252083</v>
      </c>
      <c r="AA148" s="66">
        <f t="shared" si="71"/>
        <v>0.68765322365516657</v>
      </c>
      <c r="AB148" s="66">
        <f t="shared" si="72"/>
        <v>995239.47105976264</v>
      </c>
      <c r="AC148" s="77">
        <f t="shared" si="73"/>
        <v>22067.541312000172</v>
      </c>
      <c r="AD148" s="76">
        <v>111.79410099009907</v>
      </c>
      <c r="AF148" s="60"/>
      <c r="AI148" s="65"/>
      <c r="AJ148" s="64"/>
      <c r="AK148" s="64"/>
      <c r="AL148" s="65"/>
    </row>
    <row r="149" spans="1:38" ht="15" customHeight="1" x14ac:dyDescent="0.25">
      <c r="A149" s="68" t="s">
        <v>258</v>
      </c>
      <c r="B149" s="67">
        <v>5</v>
      </c>
      <c r="C149" s="67">
        <f t="shared" si="63"/>
        <v>14.3</v>
      </c>
      <c r="D149" s="67">
        <v>99.829994059405962</v>
      </c>
      <c r="E149" s="67">
        <v>112.99573564356434</v>
      </c>
      <c r="F149" s="67">
        <v>83.90357425742576</v>
      </c>
      <c r="G149" s="67">
        <v>64.813324752475268</v>
      </c>
      <c r="H149" s="67">
        <v>159.76860000000002</v>
      </c>
      <c r="I149" s="67">
        <v>157.15258811881191</v>
      </c>
      <c r="J149" s="67">
        <v>31.392376237623747</v>
      </c>
      <c r="K149" s="67">
        <v>155.63281089108904</v>
      </c>
      <c r="L149" s="67">
        <v>3.0057465346534675</v>
      </c>
      <c r="M149" s="67">
        <v>2.9882633663366343</v>
      </c>
      <c r="N149" s="67">
        <v>7.4916029702970279</v>
      </c>
      <c r="O149" s="67">
        <v>22.66981089108911</v>
      </c>
      <c r="P149" s="67">
        <v>117.09320792079205</v>
      </c>
      <c r="Q149" s="67">
        <v>23.603869306930694</v>
      </c>
      <c r="R149" s="67">
        <v>115.5796653465347</v>
      </c>
      <c r="S149" s="67">
        <v>1.6803960396039597E-2</v>
      </c>
      <c r="T149" s="67">
        <f t="shared" si="64"/>
        <v>2.6160118811881148</v>
      </c>
      <c r="U149" s="66">
        <f t="shared" si="65"/>
        <v>13.165741584158383</v>
      </c>
      <c r="V149" s="66">
        <f t="shared" si="66"/>
        <v>135.60623811881186</v>
      </c>
      <c r="W149" s="66">
        <f t="shared" si="67"/>
        <v>5801.7212663186856</v>
      </c>
      <c r="X149" s="66">
        <f t="shared" si="68"/>
        <v>158.46059405940596</v>
      </c>
      <c r="Y149" s="66">
        <f t="shared" si="69"/>
        <v>157.15258811881191</v>
      </c>
      <c r="Z149" s="66">
        <f t="shared" si="70"/>
        <v>4435.5465722760528</v>
      </c>
      <c r="AA149" s="66">
        <f t="shared" si="71"/>
        <v>0.74264330692720504</v>
      </c>
      <c r="AB149" s="66">
        <f t="shared" si="72"/>
        <v>1027733.481462167</v>
      </c>
      <c r="AC149" s="77">
        <f t="shared" si="73"/>
        <v>25655.251688416491</v>
      </c>
      <c r="AD149" s="76">
        <v>117.09320792079205</v>
      </c>
      <c r="AF149" s="60"/>
      <c r="AI149" s="65"/>
      <c r="AJ149" s="64"/>
      <c r="AK149" s="64"/>
      <c r="AL149" s="65"/>
    </row>
    <row r="150" spans="1:38" ht="15" customHeight="1" x14ac:dyDescent="0.25">
      <c r="A150" s="68" t="s">
        <v>257</v>
      </c>
      <c r="B150" s="67">
        <v>5</v>
      </c>
      <c r="C150" s="67">
        <f t="shared" si="63"/>
        <v>14.3</v>
      </c>
      <c r="D150" s="67">
        <v>109.66063960396038</v>
      </c>
      <c r="E150" s="67">
        <v>122.76777623762379</v>
      </c>
      <c r="F150" s="67">
        <v>89.841601980198021</v>
      </c>
      <c r="G150" s="67">
        <v>65.757834653465324</v>
      </c>
      <c r="H150" s="67">
        <v>161.10901485148514</v>
      </c>
      <c r="I150" s="67">
        <v>158.93413762376235</v>
      </c>
      <c r="J150" s="67">
        <v>30.068956435643557</v>
      </c>
      <c r="K150" s="67">
        <v>155.57521980198018</v>
      </c>
      <c r="L150" s="67">
        <v>2.9884297029702958</v>
      </c>
      <c r="M150" s="67">
        <v>2.9699009900990112</v>
      </c>
      <c r="N150" s="67">
        <v>7.4945405940593988</v>
      </c>
      <c r="O150" s="67">
        <v>22.58789405940594</v>
      </c>
      <c r="P150" s="67">
        <v>125.43461683168316</v>
      </c>
      <c r="Q150" s="67">
        <v>23.394019801980185</v>
      </c>
      <c r="R150" s="67">
        <v>115.45134653465344</v>
      </c>
      <c r="S150" s="67">
        <v>1.3981188118811881E-2</v>
      </c>
      <c r="T150" s="67">
        <f t="shared" si="64"/>
        <v>2.1748772277227886</v>
      </c>
      <c r="U150" s="66">
        <f t="shared" si="65"/>
        <v>13.107136633663416</v>
      </c>
      <c r="V150" s="66">
        <f t="shared" si="66"/>
        <v>135.5132831683168</v>
      </c>
      <c r="W150" s="66">
        <f t="shared" si="67"/>
        <v>5797.7443201207952</v>
      </c>
      <c r="X150" s="66">
        <f t="shared" si="68"/>
        <v>160.02157623762375</v>
      </c>
      <c r="Y150" s="66">
        <f t="shared" si="69"/>
        <v>158.93413762376235</v>
      </c>
      <c r="Z150" s="66">
        <f t="shared" si="70"/>
        <v>5331.5600956393664</v>
      </c>
      <c r="AA150" s="66">
        <f t="shared" si="71"/>
        <v>0.74209341745814428</v>
      </c>
      <c r="AB150" s="66">
        <f t="shared" si="72"/>
        <v>1027028.9938499694</v>
      </c>
      <c r="AC150" s="77">
        <f t="shared" si="73"/>
        <v>30658.020460185377</v>
      </c>
      <c r="AD150" s="76">
        <v>125.43461683168316</v>
      </c>
      <c r="AF150" s="60"/>
      <c r="AI150" s="65"/>
      <c r="AJ150" s="64"/>
      <c r="AK150" s="64"/>
      <c r="AL150" s="65"/>
    </row>
    <row r="151" spans="1:38" x14ac:dyDescent="0.25">
      <c r="A151" s="171" t="s">
        <v>256</v>
      </c>
      <c r="B151" s="172"/>
      <c r="C151" s="172"/>
      <c r="D151" s="172"/>
      <c r="E151" s="172"/>
      <c r="F151" s="172"/>
      <c r="G151" s="172"/>
      <c r="H151" s="172"/>
      <c r="I151" s="172"/>
      <c r="J151" s="172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2"/>
      <c r="Y151" s="172"/>
      <c r="Z151" s="172"/>
      <c r="AA151" s="172"/>
      <c r="AB151" s="172"/>
      <c r="AC151" s="172"/>
      <c r="AD151" s="173"/>
      <c r="AE151" s="79"/>
      <c r="AF151" s="60"/>
      <c r="AI151" s="65"/>
      <c r="AJ151" s="65"/>
      <c r="AK151" s="65"/>
      <c r="AL151" s="65"/>
    </row>
    <row r="152" spans="1:38" ht="18" x14ac:dyDescent="0.35">
      <c r="A152" s="71" t="s">
        <v>240</v>
      </c>
      <c r="B152" s="71" t="s">
        <v>195</v>
      </c>
      <c r="C152" s="71" t="s">
        <v>239</v>
      </c>
      <c r="D152" s="71" t="s">
        <v>238</v>
      </c>
      <c r="E152" s="71" t="s">
        <v>237</v>
      </c>
      <c r="F152" s="71" t="s">
        <v>236</v>
      </c>
      <c r="G152" s="71" t="s">
        <v>235</v>
      </c>
      <c r="H152" s="71" t="s">
        <v>234</v>
      </c>
      <c r="I152" s="71" t="s">
        <v>233</v>
      </c>
      <c r="J152" s="71" t="s">
        <v>232</v>
      </c>
      <c r="K152" s="71" t="s">
        <v>231</v>
      </c>
      <c r="L152" s="71" t="s">
        <v>230</v>
      </c>
      <c r="M152" s="71" t="s">
        <v>229</v>
      </c>
      <c r="N152" s="71" t="s">
        <v>228</v>
      </c>
      <c r="O152" s="71" t="s">
        <v>227</v>
      </c>
      <c r="P152" s="71" t="s">
        <v>226</v>
      </c>
      <c r="Q152" s="71" t="s">
        <v>225</v>
      </c>
      <c r="R152" s="71" t="s">
        <v>224</v>
      </c>
      <c r="S152" s="71" t="s">
        <v>223</v>
      </c>
      <c r="T152" s="69" t="s">
        <v>222</v>
      </c>
      <c r="U152" s="69" t="s">
        <v>221</v>
      </c>
      <c r="V152" s="69" t="s">
        <v>220</v>
      </c>
      <c r="W152" s="69" t="s">
        <v>219</v>
      </c>
      <c r="X152" s="69" t="s">
        <v>218</v>
      </c>
      <c r="Y152" s="69" t="s">
        <v>217</v>
      </c>
      <c r="Z152" s="69" t="s">
        <v>216</v>
      </c>
      <c r="AA152" s="73" t="s">
        <v>215</v>
      </c>
      <c r="AB152" s="69" t="s">
        <v>214</v>
      </c>
      <c r="AC152" s="69" t="s">
        <v>213</v>
      </c>
      <c r="AD152" s="69" t="s">
        <v>212</v>
      </c>
      <c r="AF152" s="60"/>
    </row>
    <row r="153" spans="1:38" x14ac:dyDescent="0.25">
      <c r="A153" s="72"/>
      <c r="B153" s="71" t="s">
        <v>211</v>
      </c>
      <c r="C153" s="71" t="s">
        <v>210</v>
      </c>
      <c r="D153" s="71" t="s">
        <v>204</v>
      </c>
      <c r="E153" s="71" t="s">
        <v>204</v>
      </c>
      <c r="F153" s="71" t="s">
        <v>204</v>
      </c>
      <c r="G153" s="71" t="s">
        <v>204</v>
      </c>
      <c r="H153" s="71" t="s">
        <v>204</v>
      </c>
      <c r="I153" s="71" t="s">
        <v>204</v>
      </c>
      <c r="J153" s="71" t="s">
        <v>204</v>
      </c>
      <c r="K153" s="71" t="s">
        <v>206</v>
      </c>
      <c r="L153" s="71" t="s">
        <v>209</v>
      </c>
      <c r="M153" s="71" t="s">
        <v>209</v>
      </c>
      <c r="N153" s="71" t="s">
        <v>208</v>
      </c>
      <c r="O153" s="71" t="s">
        <v>204</v>
      </c>
      <c r="P153" s="71" t="s">
        <v>204</v>
      </c>
      <c r="Q153" s="71" t="s">
        <v>204</v>
      </c>
      <c r="R153" s="71" t="s">
        <v>206</v>
      </c>
      <c r="S153" s="71" t="s">
        <v>207</v>
      </c>
      <c r="T153" s="69" t="s">
        <v>204</v>
      </c>
      <c r="U153" s="69" t="s">
        <v>204</v>
      </c>
      <c r="V153" s="69" t="s">
        <v>206</v>
      </c>
      <c r="W153" s="69" t="s">
        <v>4</v>
      </c>
      <c r="X153" s="69" t="s">
        <v>204</v>
      </c>
      <c r="Y153" s="69" t="s">
        <v>204</v>
      </c>
      <c r="Z153" s="69" t="s">
        <v>205</v>
      </c>
      <c r="AA153" s="70"/>
      <c r="AB153" s="69" t="s">
        <v>4</v>
      </c>
      <c r="AC153" s="69" t="s">
        <v>205</v>
      </c>
      <c r="AD153" s="69" t="s">
        <v>204</v>
      </c>
      <c r="AF153" s="60"/>
    </row>
    <row r="154" spans="1:38" x14ac:dyDescent="0.25">
      <c r="A154" s="68" t="s">
        <v>255</v>
      </c>
      <c r="B154" s="67">
        <v>5</v>
      </c>
      <c r="C154" s="67">
        <f>ROUND(((B154/1000)/(9*PI()*1240))*10^8,1)</f>
        <v>14.3</v>
      </c>
      <c r="D154" s="78">
        <v>33.28977052505968</v>
      </c>
      <c r="E154" s="78">
        <v>38.798348687350888</v>
      </c>
      <c r="F154" s="78">
        <v>37.346414916467801</v>
      </c>
      <c r="G154" s="78">
        <v>32.247858114558497</v>
      </c>
      <c r="H154" s="78">
        <v>105.75372171837699</v>
      </c>
      <c r="I154" s="78">
        <v>103.00720035799526</v>
      </c>
      <c r="J154" s="78">
        <v>33.258852147971339</v>
      </c>
      <c r="K154" s="78">
        <v>69.58863508353231</v>
      </c>
      <c r="L154" s="78">
        <v>3.0449613365155326</v>
      </c>
      <c r="M154" s="78">
        <v>3.0329362768496448</v>
      </c>
      <c r="N154" s="78">
        <v>7.5014329355608602</v>
      </c>
      <c r="O154" s="78">
        <v>27.938973269689743</v>
      </c>
      <c r="P154" s="78">
        <v>39.44484319809068</v>
      </c>
      <c r="Q154" s="78">
        <v>27.128899642004765</v>
      </c>
      <c r="R154" s="78">
        <v>48.00724916467783</v>
      </c>
      <c r="S154" s="78">
        <v>3.9468735083532269E-2</v>
      </c>
      <c r="T154" s="67">
        <f>H154-I154</f>
        <v>2.7465213603817347</v>
      </c>
      <c r="U154" s="66">
        <f>E154-D154</f>
        <v>5.508578162291208</v>
      </c>
      <c r="V154" s="66">
        <f>(K154+R154)/2</f>
        <v>58.79794212410507</v>
      </c>
      <c r="W154" s="66">
        <f>V154/(PI()*0.006*1.24)</f>
        <v>2515.5868636243276</v>
      </c>
      <c r="X154" s="66">
        <f>(H154+I154)/2</f>
        <v>104.38046103818613</v>
      </c>
      <c r="Y154" s="66">
        <f>I154</f>
        <v>103.00720035799526</v>
      </c>
      <c r="Z154" s="66">
        <f>W154/(X154-I154)</f>
        <v>1831.8349166413839</v>
      </c>
      <c r="AA154" s="74">
        <f>R154/K154</f>
        <v>0.68987197560422375</v>
      </c>
      <c r="AB154" s="66">
        <f>V154/(PI()*0.006*0.007)</f>
        <v>445618.24441345222</v>
      </c>
      <c r="AC154" s="66">
        <f>AB154/(Y154-P154)</f>
        <v>7010.7255980517702</v>
      </c>
      <c r="AD154" s="66">
        <v>125.43461683168316</v>
      </c>
      <c r="AF154" s="60"/>
    </row>
    <row r="155" spans="1:38" x14ac:dyDescent="0.25">
      <c r="A155" s="68" t="s">
        <v>254</v>
      </c>
      <c r="B155" s="67">
        <v>5</v>
      </c>
      <c r="C155" s="67">
        <f>ROUND(((B155/1000)/(9*PI()*1240))*10^8,1)</f>
        <v>14.3</v>
      </c>
      <c r="D155" s="78">
        <v>37.599418279569875</v>
      </c>
      <c r="E155" s="78">
        <v>52.067653166069249</v>
      </c>
      <c r="F155" s="78">
        <v>47.751906571087211</v>
      </c>
      <c r="G155" s="78">
        <v>38.183263082437321</v>
      </c>
      <c r="H155" s="78">
        <v>118.47778458781374</v>
      </c>
      <c r="I155" s="78">
        <v>117.43730943847082</v>
      </c>
      <c r="J155" s="78">
        <v>35.513703942652349</v>
      </c>
      <c r="K155" s="78">
        <v>156.47180334528088</v>
      </c>
      <c r="L155" s="78">
        <v>3.0672623655913713</v>
      </c>
      <c r="M155" s="78">
        <v>3.0554244922341622</v>
      </c>
      <c r="N155" s="78">
        <v>7.5024444444444462</v>
      </c>
      <c r="O155" s="78">
        <v>27.631729390681038</v>
      </c>
      <c r="P155" s="78">
        <v>53.905292473118251</v>
      </c>
      <c r="Q155" s="78">
        <v>27.362747311828027</v>
      </c>
      <c r="R155" s="78">
        <v>126.10434157706079</v>
      </c>
      <c r="S155" s="78">
        <v>6.6505376344085914E-3</v>
      </c>
      <c r="T155" s="67">
        <f>H155-I155</f>
        <v>1.0404751493429245</v>
      </c>
      <c r="U155" s="66">
        <f>E155-D155</f>
        <v>14.468234886499374</v>
      </c>
      <c r="V155" s="66">
        <f>(K155+R155)/2</f>
        <v>141.28807246117083</v>
      </c>
      <c r="W155" s="66">
        <f>V155/(PI()*0.006*1.24)</f>
        <v>6044.8105193874271</v>
      </c>
      <c r="X155" s="66">
        <f>(H155+I155)/2</f>
        <v>117.95754701314229</v>
      </c>
      <c r="Y155" s="66">
        <f>I155</f>
        <v>117.43730943847082</v>
      </c>
      <c r="Z155" s="66">
        <f>W155/(X155-I155)</f>
        <v>11619.327041505474</v>
      </c>
      <c r="AA155" s="74">
        <f>R155/K155</f>
        <v>0.80592374396549094</v>
      </c>
      <c r="AB155" s="66">
        <f>V155/(PI()*0.006*0.007)</f>
        <v>1070795.006291487</v>
      </c>
      <c r="AC155" s="66">
        <f>AB155/(Y155-P155)</f>
        <v>16854.415418220535</v>
      </c>
      <c r="AD155" s="66">
        <v>126.434616831683</v>
      </c>
      <c r="AF155" s="60"/>
    </row>
    <row r="156" spans="1:38" x14ac:dyDescent="0.25">
      <c r="A156" s="171" t="s">
        <v>253</v>
      </c>
      <c r="B156" s="172"/>
      <c r="C156" s="172"/>
      <c r="D156" s="172"/>
      <c r="E156" s="172"/>
      <c r="F156" s="172"/>
      <c r="G156" s="172"/>
      <c r="H156" s="172"/>
      <c r="I156" s="172"/>
      <c r="J156" s="172"/>
      <c r="K156" s="172"/>
      <c r="L156" s="172"/>
      <c r="M156" s="172"/>
      <c r="N156" s="172"/>
      <c r="O156" s="172"/>
      <c r="P156" s="172"/>
      <c r="Q156" s="172"/>
      <c r="R156" s="172"/>
      <c r="S156" s="172"/>
      <c r="T156" s="172"/>
      <c r="U156" s="172"/>
      <c r="V156" s="172"/>
      <c r="W156" s="172"/>
      <c r="X156" s="172"/>
      <c r="Y156" s="172"/>
      <c r="Z156" s="172"/>
      <c r="AA156" s="172"/>
      <c r="AB156" s="172"/>
      <c r="AC156" s="172"/>
      <c r="AD156" s="173"/>
      <c r="AF156" s="60"/>
    </row>
    <row r="157" spans="1:38" ht="18" x14ac:dyDescent="0.35">
      <c r="A157" s="71" t="s">
        <v>240</v>
      </c>
      <c r="B157" s="71" t="s">
        <v>195</v>
      </c>
      <c r="C157" s="71" t="s">
        <v>239</v>
      </c>
      <c r="D157" s="71" t="s">
        <v>238</v>
      </c>
      <c r="E157" s="71" t="s">
        <v>237</v>
      </c>
      <c r="F157" s="71" t="s">
        <v>236</v>
      </c>
      <c r="G157" s="71" t="s">
        <v>235</v>
      </c>
      <c r="H157" s="71" t="s">
        <v>234</v>
      </c>
      <c r="I157" s="71" t="s">
        <v>233</v>
      </c>
      <c r="J157" s="71" t="s">
        <v>232</v>
      </c>
      <c r="K157" s="71" t="s">
        <v>231</v>
      </c>
      <c r="L157" s="71" t="s">
        <v>230</v>
      </c>
      <c r="M157" s="71" t="s">
        <v>229</v>
      </c>
      <c r="N157" s="71" t="s">
        <v>228</v>
      </c>
      <c r="O157" s="71" t="s">
        <v>227</v>
      </c>
      <c r="P157" s="71" t="s">
        <v>226</v>
      </c>
      <c r="Q157" s="71" t="s">
        <v>225</v>
      </c>
      <c r="R157" s="71" t="s">
        <v>224</v>
      </c>
      <c r="S157" s="71" t="s">
        <v>223</v>
      </c>
      <c r="T157" s="69" t="s">
        <v>222</v>
      </c>
      <c r="U157" s="69" t="s">
        <v>221</v>
      </c>
      <c r="V157" s="69" t="s">
        <v>220</v>
      </c>
      <c r="W157" s="69" t="s">
        <v>219</v>
      </c>
      <c r="X157" s="69" t="s">
        <v>218</v>
      </c>
      <c r="Y157" s="69" t="s">
        <v>217</v>
      </c>
      <c r="Z157" s="69" t="s">
        <v>216</v>
      </c>
      <c r="AA157" s="73" t="s">
        <v>215</v>
      </c>
      <c r="AB157" s="69" t="s">
        <v>214</v>
      </c>
      <c r="AC157" s="69" t="s">
        <v>213</v>
      </c>
      <c r="AD157" s="69" t="s">
        <v>212</v>
      </c>
      <c r="AF157" s="60"/>
    </row>
    <row r="158" spans="1:38" x14ac:dyDescent="0.25">
      <c r="A158" s="72"/>
      <c r="B158" s="71" t="s">
        <v>211</v>
      </c>
      <c r="C158" s="71" t="s">
        <v>210</v>
      </c>
      <c r="D158" s="71" t="s">
        <v>204</v>
      </c>
      <c r="E158" s="71" t="s">
        <v>204</v>
      </c>
      <c r="F158" s="71" t="s">
        <v>204</v>
      </c>
      <c r="G158" s="71" t="s">
        <v>204</v>
      </c>
      <c r="H158" s="71" t="s">
        <v>204</v>
      </c>
      <c r="I158" s="71" t="s">
        <v>204</v>
      </c>
      <c r="J158" s="71" t="s">
        <v>204</v>
      </c>
      <c r="K158" s="71" t="s">
        <v>206</v>
      </c>
      <c r="L158" s="71" t="s">
        <v>209</v>
      </c>
      <c r="M158" s="71" t="s">
        <v>209</v>
      </c>
      <c r="N158" s="71" t="s">
        <v>208</v>
      </c>
      <c r="O158" s="71" t="s">
        <v>204</v>
      </c>
      <c r="P158" s="71" t="s">
        <v>204</v>
      </c>
      <c r="Q158" s="71" t="s">
        <v>204</v>
      </c>
      <c r="R158" s="71" t="s">
        <v>206</v>
      </c>
      <c r="S158" s="71" t="s">
        <v>207</v>
      </c>
      <c r="T158" s="69" t="s">
        <v>204</v>
      </c>
      <c r="U158" s="69" t="s">
        <v>204</v>
      </c>
      <c r="V158" s="69" t="s">
        <v>206</v>
      </c>
      <c r="W158" s="69" t="s">
        <v>4</v>
      </c>
      <c r="X158" s="69" t="s">
        <v>204</v>
      </c>
      <c r="Y158" s="69" t="s">
        <v>204</v>
      </c>
      <c r="Z158" s="69" t="s">
        <v>205</v>
      </c>
      <c r="AA158" s="70"/>
      <c r="AB158" s="69" t="s">
        <v>4</v>
      </c>
      <c r="AC158" s="69" t="s">
        <v>205</v>
      </c>
      <c r="AD158" s="69" t="s">
        <v>204</v>
      </c>
      <c r="AF158" s="60"/>
    </row>
    <row r="159" spans="1:38" x14ac:dyDescent="0.25">
      <c r="A159" s="68" t="s">
        <v>252</v>
      </c>
      <c r="B159" s="67">
        <v>5</v>
      </c>
      <c r="C159" s="67">
        <f t="shared" ref="C159:C166" si="74">ROUND(((B159/1000)/(9*PI()*1240))*10^8,1)</f>
        <v>14.3</v>
      </c>
      <c r="D159" s="78">
        <v>50.501074432496999</v>
      </c>
      <c r="E159" s="78">
        <v>55.69630764635604</v>
      </c>
      <c r="F159" s="78">
        <v>50.657202270012036</v>
      </c>
      <c r="G159" s="78">
        <v>21.359343966547158</v>
      </c>
      <c r="H159" s="78">
        <v>111.8572287933093</v>
      </c>
      <c r="I159" s="78">
        <v>107.91401158900823</v>
      </c>
      <c r="J159" s="78">
        <v>34.247162604540016</v>
      </c>
      <c r="K159" s="78">
        <v>70.021357945041842</v>
      </c>
      <c r="L159" s="78">
        <v>2.9969045400239018</v>
      </c>
      <c r="M159" s="78">
        <v>2.9847667861409755</v>
      </c>
      <c r="N159" s="78">
        <v>7.494857108721618</v>
      </c>
      <c r="O159" s="78">
        <v>28.286191158900856</v>
      </c>
      <c r="P159" s="78">
        <v>56.624682317801664</v>
      </c>
      <c r="Q159" s="78">
        <v>28.129326642771801</v>
      </c>
      <c r="R159" s="78">
        <v>45.260472759856633</v>
      </c>
      <c r="S159" s="78">
        <v>5.6314217443249721E-2</v>
      </c>
      <c r="T159" s="67">
        <f t="shared" ref="T159:T166" si="75">H159-I159</f>
        <v>3.943217204301078</v>
      </c>
      <c r="U159" s="66">
        <f t="shared" ref="U159:U166" si="76">E159-D159</f>
        <v>5.1952332138590407</v>
      </c>
      <c r="V159" s="66">
        <f t="shared" ref="V159:V166" si="77">(K159+R159)/2</f>
        <v>57.640915352449241</v>
      </c>
      <c r="W159" s="66">
        <f t="shared" ref="W159:W166" si="78">V159/(PI()*0.006*1.24)</f>
        <v>2466.0851082483373</v>
      </c>
      <c r="X159" s="66">
        <f t="shared" ref="X159:X166" si="79">(H159+I159)/2</f>
        <v>109.88562019115876</v>
      </c>
      <c r="Y159" s="66">
        <f t="shared" ref="Y159:Y166" si="80">I159</f>
        <v>107.91401158900823</v>
      </c>
      <c r="Z159" s="66">
        <f t="shared" ref="Z159:Z166" si="81">W159/(X159-I159)</f>
        <v>1250.7985132335325</v>
      </c>
      <c r="AA159" s="66">
        <f t="shared" ref="AA159:AA166" si="82">R159/K159</f>
        <v>0.64638096272540935</v>
      </c>
      <c r="AB159" s="66">
        <f t="shared" ref="AB159:AB166" si="83">V159/(PI()*0.006*0.007)</f>
        <v>436849.36203256261</v>
      </c>
      <c r="AC159" s="77">
        <f t="shared" ref="AC159:AC166" si="84">AB159/(Y159-P159)</f>
        <v>8517.3537700717516</v>
      </c>
      <c r="AD159" s="76">
        <f t="shared" ref="AD159:AD166" si="85">P159</f>
        <v>56.624682317801664</v>
      </c>
      <c r="AF159" s="60"/>
    </row>
    <row r="160" spans="1:38" x14ac:dyDescent="0.25">
      <c r="A160" s="68" t="s">
        <v>251</v>
      </c>
      <c r="B160" s="67">
        <v>5</v>
      </c>
      <c r="C160" s="67">
        <f t="shared" si="74"/>
        <v>14.3</v>
      </c>
      <c r="D160" s="67">
        <v>70.424662604540075</v>
      </c>
      <c r="E160" s="67">
        <v>75.420253405017917</v>
      </c>
      <c r="F160" s="67">
        <v>67.125115292712039</v>
      </c>
      <c r="G160" s="67">
        <v>21.379641935483864</v>
      </c>
      <c r="H160" s="67">
        <v>119.07094778972541</v>
      </c>
      <c r="I160" s="67">
        <v>115.74333763440863</v>
      </c>
      <c r="J160" s="67">
        <v>35.633745519713237</v>
      </c>
      <c r="K160" s="67">
        <v>69.577405137395516</v>
      </c>
      <c r="L160" s="67">
        <v>3.0176663082437556</v>
      </c>
      <c r="M160" s="67">
        <v>3.0056307048984467</v>
      </c>
      <c r="N160" s="67">
        <v>7.532124014336917</v>
      </c>
      <c r="O160" s="67">
        <v>29.268729151732341</v>
      </c>
      <c r="P160" s="67">
        <v>76.139586140979674</v>
      </c>
      <c r="Q160" s="67">
        <v>29.234442771804023</v>
      </c>
      <c r="R160" s="67">
        <v>43.830068458781341</v>
      </c>
      <c r="S160" s="67">
        <v>4.7826045400238965E-2</v>
      </c>
      <c r="T160" s="67">
        <f t="shared" si="75"/>
        <v>3.3276101553167763</v>
      </c>
      <c r="U160" s="66">
        <f t="shared" si="76"/>
        <v>4.9955908004778422</v>
      </c>
      <c r="V160" s="66">
        <f t="shared" si="77"/>
        <v>56.703736798088428</v>
      </c>
      <c r="W160" s="66">
        <f t="shared" si="78"/>
        <v>2425.9892481713914</v>
      </c>
      <c r="X160" s="66">
        <f t="shared" si="79"/>
        <v>117.40714271206701</v>
      </c>
      <c r="Y160" s="66">
        <f t="shared" si="80"/>
        <v>115.74333763440863</v>
      </c>
      <c r="Z160" s="66">
        <f t="shared" si="81"/>
        <v>1458.0970335694005</v>
      </c>
      <c r="AA160" s="66">
        <f t="shared" si="82"/>
        <v>0.62994686812808653</v>
      </c>
      <c r="AB160" s="66">
        <f t="shared" si="83"/>
        <v>429746.66681893211</v>
      </c>
      <c r="AC160" s="77">
        <f t="shared" si="84"/>
        <v>10851.160574781294</v>
      </c>
      <c r="AD160" s="76">
        <f t="shared" si="85"/>
        <v>76.139586140979674</v>
      </c>
      <c r="AF160" s="60"/>
    </row>
    <row r="161" spans="1:32" x14ac:dyDescent="0.25">
      <c r="A161" s="68" t="s">
        <v>250</v>
      </c>
      <c r="B161" s="67">
        <v>5</v>
      </c>
      <c r="C161" s="67">
        <f t="shared" si="74"/>
        <v>14.3</v>
      </c>
      <c r="D161" s="67">
        <v>88.183168465227865</v>
      </c>
      <c r="E161" s="67">
        <v>93.123391247002417</v>
      </c>
      <c r="F161" s="67">
        <v>83.547125539568384</v>
      </c>
      <c r="G161" s="67">
        <v>21.476617745803395</v>
      </c>
      <c r="H161" s="67">
        <v>130.44411103117491</v>
      </c>
      <c r="I161" s="67">
        <v>124.65529556354907</v>
      </c>
      <c r="J161" s="67">
        <v>35.779533573141485</v>
      </c>
      <c r="K161" s="67">
        <v>71.11505851318941</v>
      </c>
      <c r="L161" s="67">
        <v>3.0304484412470365</v>
      </c>
      <c r="M161" s="67">
        <v>3.0178847721822533</v>
      </c>
      <c r="N161" s="67">
        <v>7.4648659472422141</v>
      </c>
      <c r="O161" s="67">
        <v>29.024675299760197</v>
      </c>
      <c r="P161" s="67">
        <v>93.844293645083866</v>
      </c>
      <c r="Q161" s="67">
        <v>28.402338249400508</v>
      </c>
      <c r="R161" s="67">
        <v>43.092460791366918</v>
      </c>
      <c r="S161" s="67">
        <v>8.1399640287769706E-2</v>
      </c>
      <c r="T161" s="67">
        <f t="shared" si="75"/>
        <v>5.7888154676258381</v>
      </c>
      <c r="U161" s="66">
        <f t="shared" si="76"/>
        <v>4.9402227817745512</v>
      </c>
      <c r="V161" s="66">
        <f t="shared" si="77"/>
        <v>57.103759652278164</v>
      </c>
      <c r="W161" s="66">
        <f t="shared" si="78"/>
        <v>2443.1036606966668</v>
      </c>
      <c r="X161" s="66">
        <f t="shared" si="79"/>
        <v>127.54970329736199</v>
      </c>
      <c r="Y161" s="66">
        <f t="shared" si="80"/>
        <v>124.65529556354907</v>
      </c>
      <c r="Z161" s="66">
        <f t="shared" si="81"/>
        <v>844.0772293951394</v>
      </c>
      <c r="AA161" s="66">
        <f t="shared" si="82"/>
        <v>0.60595409315981563</v>
      </c>
      <c r="AB161" s="66">
        <f t="shared" si="83"/>
        <v>432778.36275198089</v>
      </c>
      <c r="AC161" s="77">
        <f t="shared" si="84"/>
        <v>14046.228158929631</v>
      </c>
      <c r="AD161" s="76">
        <f t="shared" si="85"/>
        <v>93.844293645083866</v>
      </c>
      <c r="AE161" s="60"/>
      <c r="AF161" s="60"/>
    </row>
    <row r="162" spans="1:32" x14ac:dyDescent="0.25">
      <c r="A162" s="68" t="s">
        <v>249</v>
      </c>
      <c r="B162" s="67">
        <v>5</v>
      </c>
      <c r="C162" s="67">
        <f t="shared" si="74"/>
        <v>14.3</v>
      </c>
      <c r="D162" s="67">
        <v>110.90648489208621</v>
      </c>
      <c r="E162" s="67">
        <v>115.45049256594746</v>
      </c>
      <c r="F162" s="67">
        <v>103.58348225419654</v>
      </c>
      <c r="G162" s="67">
        <v>21.521882853717067</v>
      </c>
      <c r="H162" s="67">
        <v>140.32408800959234</v>
      </c>
      <c r="I162" s="67">
        <v>138.40801918465229</v>
      </c>
      <c r="J162" s="67">
        <v>36.487271822541913</v>
      </c>
      <c r="K162" s="67">
        <v>70.874463669064795</v>
      </c>
      <c r="L162" s="67">
        <v>3.0359327338129591</v>
      </c>
      <c r="M162" s="67">
        <v>3.0222014388489193</v>
      </c>
      <c r="N162" s="67">
        <v>7.445003237410079</v>
      </c>
      <c r="O162" s="67">
        <v>29.19851786570743</v>
      </c>
      <c r="P162" s="67">
        <v>116.10629760191834</v>
      </c>
      <c r="Q162" s="67">
        <v>29.319370983213414</v>
      </c>
      <c r="R162" s="67">
        <v>39.777092925659488</v>
      </c>
      <c r="S162" s="67">
        <v>2.7034772182254172E-2</v>
      </c>
      <c r="T162" s="67">
        <f t="shared" si="75"/>
        <v>1.916068824940055</v>
      </c>
      <c r="U162" s="66">
        <f t="shared" si="76"/>
        <v>4.5440076738612447</v>
      </c>
      <c r="V162" s="66">
        <f t="shared" si="77"/>
        <v>55.325778297362142</v>
      </c>
      <c r="W162" s="66">
        <f t="shared" si="78"/>
        <v>2367.0352409762072</v>
      </c>
      <c r="X162" s="66">
        <f t="shared" si="79"/>
        <v>139.36605359712232</v>
      </c>
      <c r="Y162" s="66">
        <f t="shared" si="80"/>
        <v>138.40801918465229</v>
      </c>
      <c r="Z162" s="66">
        <f t="shared" si="81"/>
        <v>2470.7204774340616</v>
      </c>
      <c r="AA162" s="66">
        <f t="shared" si="82"/>
        <v>0.56123307135544998</v>
      </c>
      <c r="AB162" s="66">
        <f t="shared" si="83"/>
        <v>419303.3855443566</v>
      </c>
      <c r="AC162" s="77">
        <f t="shared" si="84"/>
        <v>18801.390914546366</v>
      </c>
      <c r="AD162" s="76">
        <f t="shared" si="85"/>
        <v>116.10629760191834</v>
      </c>
      <c r="AE162" s="60"/>
      <c r="AF162" s="60"/>
    </row>
    <row r="163" spans="1:32" x14ac:dyDescent="0.25">
      <c r="A163" s="68" t="s">
        <v>248</v>
      </c>
      <c r="B163" s="67">
        <v>5</v>
      </c>
      <c r="C163" s="67">
        <f t="shared" si="74"/>
        <v>14.3</v>
      </c>
      <c r="D163" s="67">
        <v>51.168033652694575</v>
      </c>
      <c r="E163" s="67">
        <v>65.201313772455009</v>
      </c>
      <c r="F163" s="67">
        <v>57.880468023952041</v>
      </c>
      <c r="G163" s="67">
        <v>21.127362754491045</v>
      </c>
      <c r="H163" s="67">
        <v>125.75095365269468</v>
      </c>
      <c r="I163" s="67">
        <v>121.40980730538922</v>
      </c>
      <c r="J163" s="67">
        <v>35.864386347305413</v>
      </c>
      <c r="K163" s="67">
        <v>157.46796491017943</v>
      </c>
      <c r="L163" s="67">
        <v>3.0488889820359071</v>
      </c>
      <c r="M163" s="67">
        <v>3.0373832335329407</v>
      </c>
      <c r="N163" s="67">
        <v>7.5620852694610798</v>
      </c>
      <c r="O163" s="67">
        <v>28.025647784431108</v>
      </c>
      <c r="P163" s="67">
        <v>67.003060838323336</v>
      </c>
      <c r="Q163" s="67">
        <v>27.583130538922131</v>
      </c>
      <c r="R163" s="67">
        <v>123.35856562874251</v>
      </c>
      <c r="S163" s="67">
        <v>2.758574850299382E-2</v>
      </c>
      <c r="T163" s="67">
        <f t="shared" si="75"/>
        <v>4.3411463473054539</v>
      </c>
      <c r="U163" s="66">
        <f t="shared" si="76"/>
        <v>14.033280119760434</v>
      </c>
      <c r="V163" s="66">
        <f t="shared" si="77"/>
        <v>140.41326526946096</v>
      </c>
      <c r="W163" s="66">
        <f t="shared" si="78"/>
        <v>6007.3831299215763</v>
      </c>
      <c r="X163" s="66">
        <f t="shared" si="79"/>
        <v>123.58038047904195</v>
      </c>
      <c r="Y163" s="66">
        <f t="shared" si="80"/>
        <v>121.40980730538922</v>
      </c>
      <c r="Z163" s="66">
        <f t="shared" si="81"/>
        <v>2767.6482888674573</v>
      </c>
      <c r="AA163" s="66">
        <f t="shared" si="82"/>
        <v>0.78338832726457663</v>
      </c>
      <c r="AB163" s="66">
        <f t="shared" si="83"/>
        <v>1064165.0115861078</v>
      </c>
      <c r="AC163" s="77">
        <f t="shared" si="84"/>
        <v>19559.431149412332</v>
      </c>
      <c r="AD163" s="76">
        <f t="shared" si="85"/>
        <v>67.003060838323336</v>
      </c>
      <c r="AE163" s="60"/>
      <c r="AF163" s="60"/>
    </row>
    <row r="164" spans="1:32" x14ac:dyDescent="0.25">
      <c r="A164" s="68" t="s">
        <v>247</v>
      </c>
      <c r="B164" s="67">
        <v>5</v>
      </c>
      <c r="C164" s="67">
        <f t="shared" si="74"/>
        <v>14.3</v>
      </c>
      <c r="D164" s="67">
        <v>70.460041507176911</v>
      </c>
      <c r="E164" s="67">
        <v>84.253862559808638</v>
      </c>
      <c r="F164" s="67">
        <v>74.520654306220109</v>
      </c>
      <c r="G164" s="67">
        <v>52.309886004784673</v>
      </c>
      <c r="H164" s="67">
        <v>132.15075777511939</v>
      </c>
      <c r="I164" s="67">
        <v>130.45434437799028</v>
      </c>
      <c r="J164" s="67">
        <v>36.486306220095699</v>
      </c>
      <c r="K164" s="67">
        <v>154.46660442583743</v>
      </c>
      <c r="L164" s="67">
        <v>3.0607221291865838</v>
      </c>
      <c r="M164" s="67">
        <v>3.0486464114832521</v>
      </c>
      <c r="N164" s="67">
        <v>7.5218251196172288</v>
      </c>
      <c r="O164" s="67">
        <v>28.860355143540666</v>
      </c>
      <c r="P164" s="67">
        <v>85.967764114832548</v>
      </c>
      <c r="Q164" s="67">
        <v>29.394334330143518</v>
      </c>
      <c r="R164" s="67">
        <v>120.85886925837315</v>
      </c>
      <c r="S164" s="67">
        <v>1.0981100478468902E-2</v>
      </c>
      <c r="T164" s="67">
        <f t="shared" si="75"/>
        <v>1.6964133971291062</v>
      </c>
      <c r="U164" s="66">
        <f t="shared" si="76"/>
        <v>13.793821052631728</v>
      </c>
      <c r="V164" s="66">
        <f t="shared" si="77"/>
        <v>137.66273684210529</v>
      </c>
      <c r="W164" s="66">
        <f t="shared" si="78"/>
        <v>5889.7056580590943</v>
      </c>
      <c r="X164" s="66">
        <f t="shared" si="79"/>
        <v>131.30255107655483</v>
      </c>
      <c r="Y164" s="66">
        <f t="shared" si="80"/>
        <v>130.45434437799028</v>
      </c>
      <c r="Z164" s="66">
        <f t="shared" si="81"/>
        <v>6943.7150968348024</v>
      </c>
      <c r="AA164" s="66">
        <f t="shared" si="82"/>
        <v>0.78242717710804577</v>
      </c>
      <c r="AB164" s="66">
        <f t="shared" si="83"/>
        <v>1043319.2879990395</v>
      </c>
      <c r="AC164" s="77">
        <f t="shared" si="84"/>
        <v>23452.449746133461</v>
      </c>
      <c r="AD164" s="76">
        <f t="shared" si="85"/>
        <v>85.967764114832548</v>
      </c>
      <c r="AE164" s="60"/>
      <c r="AF164" s="60"/>
    </row>
    <row r="165" spans="1:32" x14ac:dyDescent="0.25">
      <c r="A165" s="68" t="s">
        <v>246</v>
      </c>
      <c r="B165" s="67">
        <v>5</v>
      </c>
      <c r="C165" s="67">
        <f t="shared" si="74"/>
        <v>14.3</v>
      </c>
      <c r="D165" s="67">
        <v>88.842380906921193</v>
      </c>
      <c r="E165" s="67">
        <v>102.16145918854431</v>
      </c>
      <c r="F165" s="67">
        <v>90.866350596658776</v>
      </c>
      <c r="G165" s="67">
        <v>21.248852147971341</v>
      </c>
      <c r="H165" s="67">
        <v>143.58322434367537</v>
      </c>
      <c r="I165" s="67">
        <v>140.1372732696897</v>
      </c>
      <c r="J165" s="67">
        <v>37.589759546539405</v>
      </c>
      <c r="K165" s="67">
        <v>155.72591682577567</v>
      </c>
      <c r="L165" s="67">
        <v>3.0415038186157597</v>
      </c>
      <c r="M165" s="67">
        <v>3.0292379474940265</v>
      </c>
      <c r="N165" s="67">
        <v>7.5842838902148042</v>
      </c>
      <c r="O165" s="67">
        <v>28.620940453460612</v>
      </c>
      <c r="P165" s="67">
        <v>103.48832887828165</v>
      </c>
      <c r="Q165" s="67">
        <v>28.43688973747016</v>
      </c>
      <c r="R165" s="67">
        <v>118.05500489260129</v>
      </c>
      <c r="S165" s="67">
        <v>2.2126133651551375E-2</v>
      </c>
      <c r="T165" s="67">
        <f t="shared" si="75"/>
        <v>3.4459510739856682</v>
      </c>
      <c r="U165" s="66">
        <f t="shared" si="76"/>
        <v>13.319078281623121</v>
      </c>
      <c r="V165" s="66">
        <f t="shared" si="77"/>
        <v>136.89046085918847</v>
      </c>
      <c r="W165" s="66">
        <f t="shared" si="78"/>
        <v>5856.6649214697491</v>
      </c>
      <c r="X165" s="66">
        <f t="shared" si="79"/>
        <v>141.86024880668253</v>
      </c>
      <c r="Y165" s="66">
        <f t="shared" si="80"/>
        <v>140.1372732696897</v>
      </c>
      <c r="Z165" s="66">
        <f t="shared" si="81"/>
        <v>3399.1573273823601</v>
      </c>
      <c r="AA165" s="66">
        <f t="shared" si="82"/>
        <v>0.758094781517195</v>
      </c>
      <c r="AB165" s="66">
        <f t="shared" si="83"/>
        <v>1037466.3575174983</v>
      </c>
      <c r="AC165" s="77">
        <f t="shared" si="84"/>
        <v>28308.219370179762</v>
      </c>
      <c r="AD165" s="76">
        <f t="shared" si="85"/>
        <v>103.48832887828165</v>
      </c>
      <c r="AE165" s="60"/>
      <c r="AF165" s="60"/>
    </row>
    <row r="166" spans="1:32" x14ac:dyDescent="0.25">
      <c r="A166" s="68" t="s">
        <v>245</v>
      </c>
      <c r="B166" s="67">
        <v>5</v>
      </c>
      <c r="C166" s="67">
        <f t="shared" si="74"/>
        <v>14.3</v>
      </c>
      <c r="D166" s="67">
        <v>111.72808790419151</v>
      </c>
      <c r="E166" s="67">
        <v>123.82442754491021</v>
      </c>
      <c r="F166" s="67">
        <v>112.12661520958089</v>
      </c>
      <c r="G166" s="67">
        <v>21.20987604790421</v>
      </c>
      <c r="H166" s="67">
        <v>149.3178110179642</v>
      </c>
      <c r="I166" s="67">
        <v>147.78735796407193</v>
      </c>
      <c r="J166" s="67">
        <v>37.835480958083856</v>
      </c>
      <c r="K166" s="67">
        <v>155.55287868263463</v>
      </c>
      <c r="L166" s="67">
        <v>3.0471155688622851</v>
      </c>
      <c r="M166" s="67">
        <v>3.0315022754491014</v>
      </c>
      <c r="N166" s="67">
        <v>7.5446650299401199</v>
      </c>
      <c r="O166" s="67">
        <v>28.551862874251508</v>
      </c>
      <c r="P166" s="67">
        <v>124.79153425149705</v>
      </c>
      <c r="Q166" s="67">
        <v>28.476222874251455</v>
      </c>
      <c r="R166" s="67">
        <v>107.33379281437111</v>
      </c>
      <c r="S166" s="67">
        <v>9.8378443113772869E-3</v>
      </c>
      <c r="T166" s="67">
        <f t="shared" si="75"/>
        <v>1.5304530538922734</v>
      </c>
      <c r="U166" s="66">
        <f t="shared" si="76"/>
        <v>12.096339640718696</v>
      </c>
      <c r="V166" s="66">
        <f t="shared" si="77"/>
        <v>131.44333574850288</v>
      </c>
      <c r="W166" s="66">
        <f t="shared" si="78"/>
        <v>5623.617371199427</v>
      </c>
      <c r="X166" s="66">
        <f t="shared" si="79"/>
        <v>148.55258449101808</v>
      </c>
      <c r="Y166" s="66">
        <f t="shared" si="80"/>
        <v>147.78735796407193</v>
      </c>
      <c r="Z166" s="66">
        <f t="shared" si="81"/>
        <v>7348.9576918380426</v>
      </c>
      <c r="AA166" s="66">
        <f t="shared" si="82"/>
        <v>0.69001482790529334</v>
      </c>
      <c r="AB166" s="66">
        <f t="shared" si="83"/>
        <v>996183.64861246978</v>
      </c>
      <c r="AC166" s="77">
        <f t="shared" si="84"/>
        <v>43320.198530993424</v>
      </c>
      <c r="AD166" s="76">
        <f t="shared" si="85"/>
        <v>124.79153425149705</v>
      </c>
      <c r="AE166" s="60"/>
      <c r="AF166" s="60"/>
    </row>
    <row r="167" spans="1:32" x14ac:dyDescent="0.25">
      <c r="A167" s="171" t="s">
        <v>244</v>
      </c>
      <c r="B167" s="172"/>
      <c r="C167" s="172"/>
      <c r="D167" s="172"/>
      <c r="E167" s="172"/>
      <c r="F167" s="172"/>
      <c r="G167" s="172"/>
      <c r="H167" s="172"/>
      <c r="I167" s="172"/>
      <c r="J167" s="172"/>
      <c r="K167" s="172"/>
      <c r="L167" s="172"/>
      <c r="M167" s="172"/>
      <c r="N167" s="172"/>
      <c r="O167" s="172"/>
      <c r="P167" s="172"/>
      <c r="Q167" s="172"/>
      <c r="R167" s="172"/>
      <c r="S167" s="172"/>
      <c r="T167" s="172"/>
      <c r="U167" s="172"/>
      <c r="V167" s="172"/>
      <c r="W167" s="172"/>
      <c r="X167" s="172"/>
      <c r="Y167" s="172"/>
      <c r="Z167" s="172"/>
      <c r="AA167" s="172"/>
      <c r="AB167" s="172"/>
      <c r="AC167" s="172"/>
      <c r="AD167" s="173"/>
      <c r="AE167" s="60"/>
      <c r="AF167" s="60"/>
    </row>
    <row r="168" spans="1:32" ht="18" x14ac:dyDescent="0.35">
      <c r="A168" s="71" t="s">
        <v>240</v>
      </c>
      <c r="B168" s="71" t="s">
        <v>195</v>
      </c>
      <c r="C168" s="71" t="s">
        <v>239</v>
      </c>
      <c r="D168" s="71" t="s">
        <v>238</v>
      </c>
      <c r="E168" s="71" t="s">
        <v>237</v>
      </c>
      <c r="F168" s="71" t="s">
        <v>236</v>
      </c>
      <c r="G168" s="71" t="s">
        <v>235</v>
      </c>
      <c r="H168" s="71" t="s">
        <v>234</v>
      </c>
      <c r="I168" s="71" t="s">
        <v>233</v>
      </c>
      <c r="J168" s="71" t="s">
        <v>232</v>
      </c>
      <c r="K168" s="71" t="s">
        <v>231</v>
      </c>
      <c r="L168" s="71" t="s">
        <v>230</v>
      </c>
      <c r="M168" s="71" t="s">
        <v>229</v>
      </c>
      <c r="N168" s="71" t="s">
        <v>228</v>
      </c>
      <c r="O168" s="71" t="s">
        <v>227</v>
      </c>
      <c r="P168" s="71" t="s">
        <v>226</v>
      </c>
      <c r="Q168" s="71" t="s">
        <v>225</v>
      </c>
      <c r="R168" s="71" t="s">
        <v>224</v>
      </c>
      <c r="S168" s="71" t="s">
        <v>223</v>
      </c>
      <c r="T168" s="69" t="s">
        <v>222</v>
      </c>
      <c r="U168" s="69" t="s">
        <v>221</v>
      </c>
      <c r="V168" s="69" t="s">
        <v>220</v>
      </c>
      <c r="W168" s="69" t="s">
        <v>219</v>
      </c>
      <c r="X168" s="69" t="s">
        <v>218</v>
      </c>
      <c r="Y168" s="69" t="s">
        <v>217</v>
      </c>
      <c r="Z168" s="69" t="s">
        <v>216</v>
      </c>
      <c r="AA168" s="73" t="s">
        <v>215</v>
      </c>
      <c r="AB168" s="69" t="s">
        <v>214</v>
      </c>
      <c r="AC168" s="69" t="s">
        <v>213</v>
      </c>
      <c r="AD168" s="69" t="s">
        <v>212</v>
      </c>
      <c r="AE168" s="60"/>
      <c r="AF168" s="60"/>
    </row>
    <row r="169" spans="1:32" x14ac:dyDescent="0.25">
      <c r="A169" s="72"/>
      <c r="B169" s="71" t="s">
        <v>211</v>
      </c>
      <c r="C169" s="71" t="s">
        <v>210</v>
      </c>
      <c r="D169" s="71" t="s">
        <v>204</v>
      </c>
      <c r="E169" s="71" t="s">
        <v>204</v>
      </c>
      <c r="F169" s="71" t="s">
        <v>204</v>
      </c>
      <c r="G169" s="71" t="s">
        <v>204</v>
      </c>
      <c r="H169" s="71" t="s">
        <v>204</v>
      </c>
      <c r="I169" s="71" t="s">
        <v>204</v>
      </c>
      <c r="J169" s="71" t="s">
        <v>204</v>
      </c>
      <c r="K169" s="71" t="s">
        <v>206</v>
      </c>
      <c r="L169" s="71" t="s">
        <v>209</v>
      </c>
      <c r="M169" s="71" t="s">
        <v>209</v>
      </c>
      <c r="N169" s="71" t="s">
        <v>208</v>
      </c>
      <c r="O169" s="71" t="s">
        <v>204</v>
      </c>
      <c r="P169" s="71" t="s">
        <v>204</v>
      </c>
      <c r="Q169" s="71" t="s">
        <v>204</v>
      </c>
      <c r="R169" s="71" t="s">
        <v>206</v>
      </c>
      <c r="S169" s="71" t="s">
        <v>207</v>
      </c>
      <c r="T169" s="69" t="s">
        <v>204</v>
      </c>
      <c r="U169" s="69" t="s">
        <v>204</v>
      </c>
      <c r="V169" s="69" t="s">
        <v>206</v>
      </c>
      <c r="W169" s="69" t="s">
        <v>4</v>
      </c>
      <c r="X169" s="69" t="s">
        <v>204</v>
      </c>
      <c r="Y169" s="69" t="s">
        <v>204</v>
      </c>
      <c r="Z169" s="69" t="s">
        <v>205</v>
      </c>
      <c r="AA169" s="70"/>
      <c r="AB169" s="69" t="s">
        <v>4</v>
      </c>
      <c r="AC169" s="69" t="s">
        <v>205</v>
      </c>
      <c r="AD169" s="69" t="s">
        <v>204</v>
      </c>
      <c r="AE169" s="60"/>
      <c r="AF169" s="60"/>
    </row>
    <row r="170" spans="1:32" x14ac:dyDescent="0.25">
      <c r="A170" s="68" t="s">
        <v>243</v>
      </c>
      <c r="B170" s="67">
        <v>5</v>
      </c>
      <c r="C170" s="67">
        <f>ROUND(((B170/1000)/(9*PI()*1240))*10^8,1)</f>
        <v>14.3</v>
      </c>
      <c r="D170" s="75">
        <v>33.817374189675874</v>
      </c>
      <c r="E170" s="75">
        <v>42.979636494597848</v>
      </c>
      <c r="F170" s="75">
        <v>38.739031812725145</v>
      </c>
      <c r="G170" s="75">
        <v>33.842061944777939</v>
      </c>
      <c r="H170" s="75">
        <v>105.17714309723888</v>
      </c>
      <c r="I170" s="75">
        <v>100.92287454982008</v>
      </c>
      <c r="J170" s="75">
        <v>33.160941296518551</v>
      </c>
      <c r="K170" s="75">
        <v>70.594344417767203</v>
      </c>
      <c r="L170" s="75">
        <v>3.0551194477791288</v>
      </c>
      <c r="M170" s="75">
        <v>3.040209723889546</v>
      </c>
      <c r="N170" s="75">
        <v>7.5211602641056441</v>
      </c>
      <c r="O170" s="75">
        <v>27.960592917166867</v>
      </c>
      <c r="P170" s="75">
        <v>34.18339135654265</v>
      </c>
      <c r="Q170" s="75">
        <v>28.07622088835533</v>
      </c>
      <c r="R170" s="75">
        <v>80.05794681872753</v>
      </c>
      <c r="S170" s="75">
        <v>6.0262545018007117E-2</v>
      </c>
      <c r="T170" s="67"/>
      <c r="U170" s="66"/>
      <c r="V170" s="66"/>
      <c r="W170" s="66"/>
      <c r="X170" s="66"/>
      <c r="Y170" s="66"/>
      <c r="Z170" s="66"/>
      <c r="AA170" s="74"/>
      <c r="AB170" s="66"/>
      <c r="AC170" s="66"/>
      <c r="AD170" s="66"/>
      <c r="AE170" s="60"/>
      <c r="AF170" s="60"/>
    </row>
    <row r="171" spans="1:32" x14ac:dyDescent="0.25">
      <c r="A171" s="68" t="s">
        <v>242</v>
      </c>
      <c r="B171" s="67">
        <v>5</v>
      </c>
      <c r="C171" s="67">
        <f>ROUND(((B171/1000)/(9*PI()*1240))*10^8,1)</f>
        <v>14.3</v>
      </c>
      <c r="D171" s="75">
        <v>38.341961648745475</v>
      </c>
      <c r="E171" s="75">
        <v>59.02006391875743</v>
      </c>
      <c r="F171" s="75">
        <v>49.033113978494661</v>
      </c>
      <c r="G171" s="75">
        <v>40.781710513739597</v>
      </c>
      <c r="H171" s="75">
        <v>119.68463739545976</v>
      </c>
      <c r="I171" s="75">
        <v>116.94033500597371</v>
      </c>
      <c r="J171" s="75">
        <v>36.250135125448047</v>
      </c>
      <c r="K171" s="75">
        <v>155.77354109916357</v>
      </c>
      <c r="L171" s="75">
        <v>3.0778851851851763</v>
      </c>
      <c r="M171" s="75">
        <v>3.0631581839904478</v>
      </c>
      <c r="N171" s="75">
        <v>7.528359020310635</v>
      </c>
      <c r="O171" s="75">
        <v>28.319229032258079</v>
      </c>
      <c r="P171" s="75">
        <v>39.905518040621317</v>
      </c>
      <c r="Q171" s="75">
        <v>28.655816487455194</v>
      </c>
      <c r="R171" s="75">
        <v>180.85454755077643</v>
      </c>
      <c r="S171" s="75">
        <v>1.7616367980884094E-2</v>
      </c>
      <c r="T171" s="67"/>
      <c r="U171" s="66"/>
      <c r="V171" s="66"/>
      <c r="W171" s="66"/>
      <c r="X171" s="66"/>
      <c r="Y171" s="66"/>
      <c r="Z171" s="66"/>
      <c r="AA171" s="74"/>
      <c r="AB171" s="66"/>
      <c r="AC171" s="66"/>
      <c r="AD171" s="66"/>
      <c r="AE171" s="60"/>
      <c r="AF171" s="60"/>
    </row>
    <row r="172" spans="1:32" x14ac:dyDescent="0.25">
      <c r="A172" s="171" t="s">
        <v>241</v>
      </c>
      <c r="B172" s="172"/>
      <c r="C172" s="172"/>
      <c r="D172" s="172"/>
      <c r="E172" s="172"/>
      <c r="F172" s="172"/>
      <c r="G172" s="172"/>
      <c r="H172" s="172"/>
      <c r="I172" s="172"/>
      <c r="J172" s="172"/>
      <c r="K172" s="172"/>
      <c r="L172" s="172"/>
      <c r="M172" s="172"/>
      <c r="N172" s="172"/>
      <c r="O172" s="172"/>
      <c r="P172" s="172"/>
      <c r="Q172" s="172"/>
      <c r="R172" s="172"/>
      <c r="S172" s="172"/>
      <c r="T172" s="172"/>
      <c r="U172" s="172"/>
      <c r="V172" s="172"/>
      <c r="W172" s="172"/>
      <c r="X172" s="172"/>
      <c r="Y172" s="172"/>
      <c r="Z172" s="172"/>
      <c r="AA172" s="172"/>
      <c r="AB172" s="172"/>
      <c r="AC172" s="172"/>
      <c r="AD172" s="173"/>
      <c r="AE172" s="60"/>
      <c r="AF172" s="60"/>
    </row>
    <row r="173" spans="1:32" ht="18" x14ac:dyDescent="0.35">
      <c r="A173" s="71" t="s">
        <v>240</v>
      </c>
      <c r="B173" s="71" t="s">
        <v>195</v>
      </c>
      <c r="C173" s="71" t="s">
        <v>239</v>
      </c>
      <c r="D173" s="71" t="s">
        <v>238</v>
      </c>
      <c r="E173" s="71" t="s">
        <v>237</v>
      </c>
      <c r="F173" s="71" t="s">
        <v>236</v>
      </c>
      <c r="G173" s="71" t="s">
        <v>235</v>
      </c>
      <c r="H173" s="71" t="s">
        <v>234</v>
      </c>
      <c r="I173" s="71" t="s">
        <v>233</v>
      </c>
      <c r="J173" s="71" t="s">
        <v>232</v>
      </c>
      <c r="K173" s="71" t="s">
        <v>231</v>
      </c>
      <c r="L173" s="71" t="s">
        <v>230</v>
      </c>
      <c r="M173" s="71" t="s">
        <v>229</v>
      </c>
      <c r="N173" s="71" t="s">
        <v>228</v>
      </c>
      <c r="O173" s="71" t="s">
        <v>227</v>
      </c>
      <c r="P173" s="71" t="s">
        <v>226</v>
      </c>
      <c r="Q173" s="71" t="s">
        <v>225</v>
      </c>
      <c r="R173" s="71" t="s">
        <v>224</v>
      </c>
      <c r="S173" s="71" t="s">
        <v>223</v>
      </c>
      <c r="T173" s="69" t="s">
        <v>222</v>
      </c>
      <c r="U173" s="69" t="s">
        <v>221</v>
      </c>
      <c r="V173" s="69" t="s">
        <v>220</v>
      </c>
      <c r="W173" s="69" t="s">
        <v>219</v>
      </c>
      <c r="X173" s="69" t="s">
        <v>218</v>
      </c>
      <c r="Y173" s="69" t="s">
        <v>217</v>
      </c>
      <c r="Z173" s="69" t="s">
        <v>216</v>
      </c>
      <c r="AA173" s="73" t="s">
        <v>215</v>
      </c>
      <c r="AB173" s="69" t="s">
        <v>214</v>
      </c>
      <c r="AC173" s="69" t="s">
        <v>213</v>
      </c>
      <c r="AD173" s="69" t="s">
        <v>212</v>
      </c>
      <c r="AE173" s="60"/>
      <c r="AF173" s="60"/>
    </row>
    <row r="174" spans="1:32" x14ac:dyDescent="0.25">
      <c r="A174" s="72"/>
      <c r="B174" s="71" t="s">
        <v>211</v>
      </c>
      <c r="C174" s="71" t="s">
        <v>210</v>
      </c>
      <c r="D174" s="71" t="s">
        <v>204</v>
      </c>
      <c r="E174" s="71" t="s">
        <v>204</v>
      </c>
      <c r="F174" s="71" t="s">
        <v>204</v>
      </c>
      <c r="G174" s="71" t="s">
        <v>204</v>
      </c>
      <c r="H174" s="71" t="s">
        <v>204</v>
      </c>
      <c r="I174" s="71" t="s">
        <v>204</v>
      </c>
      <c r="J174" s="71" t="s">
        <v>204</v>
      </c>
      <c r="K174" s="71" t="s">
        <v>206</v>
      </c>
      <c r="L174" s="71" t="s">
        <v>209</v>
      </c>
      <c r="M174" s="71" t="s">
        <v>209</v>
      </c>
      <c r="N174" s="71" t="s">
        <v>208</v>
      </c>
      <c r="O174" s="71" t="s">
        <v>204</v>
      </c>
      <c r="P174" s="71" t="s">
        <v>204</v>
      </c>
      <c r="Q174" s="71" t="s">
        <v>204</v>
      </c>
      <c r="R174" s="71" t="s">
        <v>206</v>
      </c>
      <c r="S174" s="71" t="s">
        <v>207</v>
      </c>
      <c r="T174" s="69" t="s">
        <v>204</v>
      </c>
      <c r="U174" s="69" t="s">
        <v>204</v>
      </c>
      <c r="V174" s="69" t="s">
        <v>206</v>
      </c>
      <c r="W174" s="69" t="s">
        <v>4</v>
      </c>
      <c r="X174" s="69" t="s">
        <v>204</v>
      </c>
      <c r="Y174" s="69" t="s">
        <v>204</v>
      </c>
      <c r="Z174" s="69" t="s">
        <v>205</v>
      </c>
      <c r="AA174" s="70"/>
      <c r="AB174" s="69" t="s">
        <v>4</v>
      </c>
      <c r="AC174" s="69" t="s">
        <v>205</v>
      </c>
      <c r="AD174" s="69" t="s">
        <v>204</v>
      </c>
      <c r="AE174" s="60"/>
      <c r="AF174" s="60"/>
    </row>
    <row r="175" spans="1:32" x14ac:dyDescent="0.25">
      <c r="A175" s="68" t="s">
        <v>203</v>
      </c>
      <c r="B175" s="67">
        <v>5</v>
      </c>
      <c r="C175" s="67">
        <f t="shared" ref="C175:C182" si="86">ROUND(((B175/1000)/(9*PI()*1240))*10^8,1)</f>
        <v>14.3</v>
      </c>
      <c r="D175" s="67">
        <v>49.577586467065906</v>
      </c>
      <c r="E175" s="67">
        <v>59.427713772455178</v>
      </c>
      <c r="F175" s="67">
        <v>50.702465988023938</v>
      </c>
      <c r="G175" s="67">
        <v>21.361719041916199</v>
      </c>
      <c r="H175" s="67">
        <v>108.7454453892215</v>
      </c>
      <c r="I175" s="67">
        <v>105.19621029940116</v>
      </c>
      <c r="J175" s="67">
        <v>33.51482970059876</v>
      </c>
      <c r="K175" s="67">
        <v>69.412659401197644</v>
      </c>
      <c r="L175" s="67">
        <v>3.019974011976025</v>
      </c>
      <c r="M175" s="67">
        <v>3.0052492215568982</v>
      </c>
      <c r="N175" s="67">
        <v>7.5323938922155804</v>
      </c>
      <c r="O175" s="67">
        <v>27.904297005988038</v>
      </c>
      <c r="P175" s="67">
        <v>49.837709341317328</v>
      </c>
      <c r="Q175" s="67">
        <v>27.951639880239544</v>
      </c>
      <c r="R175" s="66">
        <v>86.237786586826473</v>
      </c>
      <c r="S175" s="67">
        <v>5.1131856287425177E-2</v>
      </c>
      <c r="T175" s="67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0"/>
      <c r="AF175" s="60"/>
    </row>
    <row r="176" spans="1:32" x14ac:dyDescent="0.25">
      <c r="A176" s="68" t="s">
        <v>202</v>
      </c>
      <c r="B176" s="67">
        <v>5</v>
      </c>
      <c r="C176" s="67">
        <f t="shared" si="86"/>
        <v>14.3</v>
      </c>
      <c r="D176" s="67">
        <v>70.109051137724578</v>
      </c>
      <c r="E176" s="67">
        <v>79.146508622754482</v>
      </c>
      <c r="F176" s="67">
        <v>65.481790658682684</v>
      </c>
      <c r="G176" s="67">
        <v>21.887537005987983</v>
      </c>
      <c r="H176" s="67">
        <v>116.50921113772445</v>
      </c>
      <c r="I176" s="67">
        <v>113.2880358083832</v>
      </c>
      <c r="J176" s="67">
        <v>33.588843473053892</v>
      </c>
      <c r="K176" s="67">
        <v>70.183347185628733</v>
      </c>
      <c r="L176" s="67">
        <v>3.0277798802395206</v>
      </c>
      <c r="M176" s="67">
        <v>3.0120613173652639</v>
      </c>
      <c r="N176" s="67">
        <v>7.5347573652694519</v>
      </c>
      <c r="O176" s="67">
        <v>27.975235089820305</v>
      </c>
      <c r="P176" s="67">
        <v>70.216982874251499</v>
      </c>
      <c r="Q176" s="67">
        <v>27.880332095808349</v>
      </c>
      <c r="R176" s="66">
        <v>79.316378802395135</v>
      </c>
      <c r="S176" s="67">
        <v>4.5895568862275485E-2</v>
      </c>
      <c r="T176" s="67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0"/>
      <c r="AF176" s="60"/>
    </row>
    <row r="177" spans="1:32" x14ac:dyDescent="0.25">
      <c r="A177" s="68" t="s">
        <v>201</v>
      </c>
      <c r="B177" s="67">
        <v>5</v>
      </c>
      <c r="C177" s="67">
        <f t="shared" si="86"/>
        <v>14.3</v>
      </c>
      <c r="D177" s="67">
        <v>91.070453763440867</v>
      </c>
      <c r="E177" s="67">
        <v>97.907345878136141</v>
      </c>
      <c r="F177" s="67">
        <v>85.098961648745473</v>
      </c>
      <c r="G177" s="67">
        <v>21.877251851851842</v>
      </c>
      <c r="H177" s="67">
        <v>126.90291373954594</v>
      </c>
      <c r="I177" s="67">
        <v>124.56922365591399</v>
      </c>
      <c r="J177" s="67">
        <v>33.980367622461195</v>
      </c>
      <c r="K177" s="67">
        <v>70.352455913978488</v>
      </c>
      <c r="L177" s="67">
        <v>3.0050119474313215</v>
      </c>
      <c r="M177" s="67">
        <v>2.9872406212664244</v>
      </c>
      <c r="N177" s="67">
        <v>7.5566862604539926</v>
      </c>
      <c r="O177" s="67">
        <v>27.410634289127849</v>
      </c>
      <c r="P177" s="67">
        <v>91.038393548387077</v>
      </c>
      <c r="Q177" s="67">
        <v>27.976849223417009</v>
      </c>
      <c r="R177" s="66">
        <v>60.409511589008318</v>
      </c>
      <c r="S177" s="67">
        <v>3.3170250896057352E-2</v>
      </c>
      <c r="T177" s="67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0"/>
      <c r="AF177" s="60"/>
    </row>
    <row r="178" spans="1:32" x14ac:dyDescent="0.25">
      <c r="A178" s="68" t="s">
        <v>200</v>
      </c>
      <c r="B178" s="67">
        <v>5</v>
      </c>
      <c r="C178" s="67">
        <f t="shared" si="86"/>
        <v>14.3</v>
      </c>
      <c r="D178" s="67">
        <v>109.74235644391429</v>
      </c>
      <c r="E178" s="67">
        <v>115.43230143198083</v>
      </c>
      <c r="F178" s="67">
        <v>102.97039140811448</v>
      </c>
      <c r="G178" s="67">
        <v>21.662938782816237</v>
      </c>
      <c r="H178" s="67">
        <v>138.37755787589495</v>
      </c>
      <c r="I178" s="67">
        <v>135.71820357995219</v>
      </c>
      <c r="J178" s="67">
        <v>34.92292171837709</v>
      </c>
      <c r="K178" s="67">
        <v>69.177173389021505</v>
      </c>
      <c r="L178" s="67">
        <v>3.034891050119338</v>
      </c>
      <c r="M178" s="67">
        <v>3.0164559665871082</v>
      </c>
      <c r="N178" s="67">
        <v>7.5043343675417757</v>
      </c>
      <c r="O178" s="67">
        <v>27.749384009546588</v>
      </c>
      <c r="P178" s="67">
        <v>109.68121372315018</v>
      </c>
      <c r="Q178" s="67">
        <v>29.067505966587099</v>
      </c>
      <c r="R178" s="66">
        <v>50.185029952267271</v>
      </c>
      <c r="S178" s="67">
        <v>3.8454892601431964E-2</v>
      </c>
      <c r="T178" s="67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0"/>
      <c r="AF178" s="60"/>
    </row>
    <row r="179" spans="1:32" x14ac:dyDescent="0.25">
      <c r="A179" s="68" t="s">
        <v>199</v>
      </c>
      <c r="B179" s="67">
        <v>5</v>
      </c>
      <c r="C179" s="67">
        <f t="shared" si="86"/>
        <v>14.3</v>
      </c>
      <c r="D179" s="67">
        <v>49.591165342960302</v>
      </c>
      <c r="E179" s="67">
        <v>63.830172683513858</v>
      </c>
      <c r="F179" s="67">
        <v>57.304665824307989</v>
      </c>
      <c r="G179" s="67">
        <v>21.684986522262353</v>
      </c>
      <c r="H179" s="67">
        <v>122.85052551143194</v>
      </c>
      <c r="I179" s="67">
        <v>120.01014909747281</v>
      </c>
      <c r="J179" s="67">
        <v>35.990043561973515</v>
      </c>
      <c r="K179" s="67">
        <v>155.16559458483752</v>
      </c>
      <c r="L179" s="67">
        <v>3.0196507821901486</v>
      </c>
      <c r="M179" s="67">
        <v>3.0051935018050613</v>
      </c>
      <c r="N179" s="67">
        <v>7.587401564380281</v>
      </c>
      <c r="O179" s="67">
        <v>27.430474368231081</v>
      </c>
      <c r="P179" s="67">
        <v>51.92505595667869</v>
      </c>
      <c r="Q179" s="67">
        <v>27.740274488568016</v>
      </c>
      <c r="R179" s="66">
        <v>125.57041925391091</v>
      </c>
      <c r="S179" s="67">
        <v>1.8305655836341746E-2</v>
      </c>
      <c r="T179" s="67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0"/>
      <c r="AF179" s="60"/>
    </row>
    <row r="180" spans="1:32" x14ac:dyDescent="0.25">
      <c r="A180" s="68" t="s">
        <v>198</v>
      </c>
      <c r="B180" s="67">
        <v>5</v>
      </c>
      <c r="C180" s="67">
        <f t="shared" si="86"/>
        <v>14.3</v>
      </c>
      <c r="D180" s="67">
        <v>69.629020143884929</v>
      </c>
      <c r="E180" s="67">
        <v>84.333605035971289</v>
      </c>
      <c r="F180" s="67">
        <v>73.482153956834622</v>
      </c>
      <c r="G180" s="67">
        <v>21.77823393285373</v>
      </c>
      <c r="H180" s="67">
        <v>133.22936235012011</v>
      </c>
      <c r="I180" s="67">
        <v>130.24406211031183</v>
      </c>
      <c r="J180" s="67">
        <v>36.624535971223011</v>
      </c>
      <c r="K180" s="67">
        <v>156.66057673860911</v>
      </c>
      <c r="L180" s="67">
        <v>3.0341713429256925</v>
      </c>
      <c r="M180" s="67">
        <v>3.0186034772182251</v>
      </c>
      <c r="N180" s="67">
        <v>7.5904276978417311</v>
      </c>
      <c r="O180" s="67">
        <v>27.663033932853725</v>
      </c>
      <c r="P180" s="67">
        <v>74.949054916067169</v>
      </c>
      <c r="Q180" s="67">
        <v>28.132827577937636</v>
      </c>
      <c r="R180" s="66">
        <v>129.99773884892096</v>
      </c>
      <c r="S180" s="67">
        <v>1.9056235011990403E-2</v>
      </c>
      <c r="T180" s="67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0"/>
      <c r="AF180" s="60"/>
    </row>
    <row r="181" spans="1:32" x14ac:dyDescent="0.25">
      <c r="A181" s="68" t="s">
        <v>197</v>
      </c>
      <c r="B181" s="67">
        <v>5</v>
      </c>
      <c r="C181" s="67">
        <f t="shared" si="86"/>
        <v>14.3</v>
      </c>
      <c r="D181" s="67">
        <v>90.462049401913887</v>
      </c>
      <c r="E181" s="67">
        <v>107.67429928229667</v>
      </c>
      <c r="F181" s="67">
        <v>93.837797607655389</v>
      </c>
      <c r="G181" s="67">
        <v>22.344387799043094</v>
      </c>
      <c r="H181" s="67">
        <v>143.0084789473685</v>
      </c>
      <c r="I181" s="67">
        <v>140.0656565789474</v>
      </c>
      <c r="J181" s="67">
        <v>37.032870215310957</v>
      </c>
      <c r="K181" s="67">
        <v>156.81719031100496</v>
      </c>
      <c r="L181" s="67">
        <v>3.0638535885167308</v>
      </c>
      <c r="M181" s="67">
        <v>3.04587643540671</v>
      </c>
      <c r="N181" s="67">
        <v>7.5335502392344607</v>
      </c>
      <c r="O181" s="67">
        <v>27.509576315789481</v>
      </c>
      <c r="P181" s="67">
        <v>94.365167703349229</v>
      </c>
      <c r="Q181" s="67">
        <v>28.327384808612475</v>
      </c>
      <c r="R181" s="66">
        <v>151.59625083732047</v>
      </c>
      <c r="S181" s="67">
        <v>1.8766985645932991E-2</v>
      </c>
      <c r="T181" s="67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0"/>
      <c r="AF181" s="60"/>
    </row>
    <row r="182" spans="1:32" x14ac:dyDescent="0.25">
      <c r="A182" s="68" t="s">
        <v>196</v>
      </c>
      <c r="B182" s="67">
        <v>5</v>
      </c>
      <c r="C182" s="67">
        <f t="shared" si="86"/>
        <v>14.3</v>
      </c>
      <c r="D182" s="67">
        <v>109.51695346062047</v>
      </c>
      <c r="E182" s="67">
        <v>125.21235727923606</v>
      </c>
      <c r="F182" s="67">
        <v>112.18445059665865</v>
      </c>
      <c r="G182" s="67">
        <v>21.761583770883021</v>
      </c>
      <c r="H182" s="67">
        <v>149.84433329355605</v>
      </c>
      <c r="I182" s="67">
        <v>145.16386479713591</v>
      </c>
      <c r="J182" s="67">
        <v>37.670032100238672</v>
      </c>
      <c r="K182" s="67">
        <v>154.29027374701661</v>
      </c>
      <c r="L182" s="67">
        <v>3.1131313842482098</v>
      </c>
      <c r="M182" s="67">
        <v>3.092596897374694</v>
      </c>
      <c r="N182" s="67">
        <v>7.4950106205250515</v>
      </c>
      <c r="O182" s="67">
        <v>28.210507279236268</v>
      </c>
      <c r="P182" s="67">
        <v>110.61542792362769</v>
      </c>
      <c r="Q182" s="67">
        <v>28.654709188544139</v>
      </c>
      <c r="R182" s="66">
        <v>138.25078890214823</v>
      </c>
      <c r="S182" s="67">
        <v>3.0335083532219448E-2</v>
      </c>
      <c r="T182" s="67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0"/>
      <c r="AF182" s="60"/>
    </row>
    <row r="183" spans="1:32" x14ac:dyDescent="0.25">
      <c r="P183" s="64"/>
      <c r="Q183" s="64"/>
      <c r="R183" s="65"/>
      <c r="S183" s="64"/>
      <c r="AE183" s="60"/>
      <c r="AF183" s="60"/>
    </row>
    <row r="184" spans="1:32" x14ac:dyDescent="0.25">
      <c r="P184" s="64"/>
      <c r="Q184" s="64"/>
      <c r="R184" s="64"/>
      <c r="S184" s="64"/>
      <c r="AE184" s="60"/>
      <c r="AF184" s="60"/>
    </row>
    <row r="185" spans="1:32" x14ac:dyDescent="0.25">
      <c r="P185" s="64"/>
      <c r="Q185" s="64"/>
      <c r="R185" s="64"/>
      <c r="S185" s="64"/>
      <c r="AE185" s="60"/>
      <c r="AF185" s="60"/>
    </row>
    <row r="186" spans="1:32" x14ac:dyDescent="0.25">
      <c r="P186" s="64"/>
      <c r="Q186" s="64"/>
      <c r="R186" s="64"/>
      <c r="S186" s="64"/>
      <c r="AE186" s="60"/>
      <c r="AF186" s="60"/>
    </row>
    <row r="187" spans="1:32" x14ac:dyDescent="0.25">
      <c r="P187" s="64"/>
      <c r="Q187" s="64"/>
      <c r="R187" s="64"/>
      <c r="S187" s="64"/>
      <c r="AE187" s="60"/>
      <c r="AF187" s="60"/>
    </row>
    <row r="188" spans="1:32" x14ac:dyDescent="0.25">
      <c r="P188" s="64"/>
      <c r="Q188" s="64"/>
      <c r="R188" s="64"/>
      <c r="S188" s="64"/>
      <c r="AE188" s="60"/>
      <c r="AF188" s="60"/>
    </row>
  </sheetData>
  <sheetProtection password="F4FE" sheet="1" objects="1" scenarios="1" selectLockedCells="1" selectUnlockedCells="1"/>
  <mergeCells count="9">
    <mergeCell ref="A172:AD172"/>
    <mergeCell ref="A167:AD167"/>
    <mergeCell ref="A1:AD1"/>
    <mergeCell ref="A151:AD151"/>
    <mergeCell ref="A156:AD156"/>
    <mergeCell ref="A74:AD74"/>
    <mergeCell ref="A100:AD100"/>
    <mergeCell ref="A130:AD130"/>
    <mergeCell ref="A115:AD115"/>
  </mergeCells>
  <pageMargins left="0.75" right="0.75" top="1" bottom="1" header="0.5" footer="0.5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80" zoomScaleNormal="80" zoomScalePageLayoutView="80" workbookViewId="0">
      <selection activeCell="I41" sqref="I41"/>
    </sheetView>
  </sheetViews>
  <sheetFormatPr defaultColWidth="8.85546875" defaultRowHeight="15" x14ac:dyDescent="0.25"/>
  <sheetData>
    <row r="1" spans="1:19" ht="18" customHeight="1" x14ac:dyDescent="0.25">
      <c r="A1" s="184"/>
      <c r="B1" s="187" t="s">
        <v>406</v>
      </c>
      <c r="C1" s="178" t="s">
        <v>404</v>
      </c>
      <c r="D1" s="179"/>
      <c r="E1" s="179"/>
      <c r="F1" s="179"/>
      <c r="G1" s="179"/>
      <c r="H1" s="179"/>
      <c r="I1" s="180"/>
      <c r="J1" s="178" t="s">
        <v>405</v>
      </c>
      <c r="K1" s="179"/>
      <c r="L1" s="179"/>
      <c r="M1" s="179"/>
      <c r="N1" s="179"/>
      <c r="O1" s="179"/>
      <c r="P1" s="180"/>
      <c r="R1" s="178" t="s">
        <v>409</v>
      </c>
      <c r="S1" s="180"/>
    </row>
    <row r="2" spans="1:19" ht="15.75" thickBot="1" x14ac:dyDescent="0.3">
      <c r="A2" s="185"/>
      <c r="B2" s="188"/>
      <c r="C2" s="181"/>
      <c r="D2" s="182"/>
      <c r="E2" s="182"/>
      <c r="F2" s="182"/>
      <c r="G2" s="182"/>
      <c r="H2" s="182"/>
      <c r="I2" s="183"/>
      <c r="J2" s="181"/>
      <c r="K2" s="182"/>
      <c r="L2" s="182"/>
      <c r="M2" s="182"/>
      <c r="N2" s="182"/>
      <c r="O2" s="182"/>
      <c r="P2" s="183"/>
      <c r="R2" s="122" t="s">
        <v>407</v>
      </c>
      <c r="S2" s="122" t="s">
        <v>408</v>
      </c>
    </row>
    <row r="3" spans="1:19" x14ac:dyDescent="0.25">
      <c r="A3" s="175" t="s">
        <v>414</v>
      </c>
      <c r="B3" s="125">
        <v>3</v>
      </c>
      <c r="C3" s="132">
        <v>50.63803121495328</v>
      </c>
      <c r="D3" s="126">
        <v>60.425986732673294</v>
      </c>
      <c r="E3" s="126">
        <v>69.836579583318965</v>
      </c>
      <c r="F3" s="126">
        <v>79.84921509999991</v>
      </c>
      <c r="G3" s="126">
        <v>90.024639112487137</v>
      </c>
      <c r="H3" s="126">
        <v>120.44205533039656</v>
      </c>
      <c r="I3" s="126">
        <v>155.89131371026107</v>
      </c>
      <c r="J3" s="126">
        <v>29.430442523364469</v>
      </c>
      <c r="K3" s="126">
        <v>38.299823861386109</v>
      </c>
      <c r="L3" s="126">
        <v>47.131125800850249</v>
      </c>
      <c r="M3" s="126">
        <v>55.760947700000038</v>
      </c>
      <c r="N3" s="126">
        <v>64.634098245614112</v>
      </c>
      <c r="O3" s="126">
        <v>92.060244933920842</v>
      </c>
      <c r="P3" s="127">
        <v>123.86734498364694</v>
      </c>
      <c r="R3" s="3">
        <v>0.89559999999999995</v>
      </c>
      <c r="S3" s="3">
        <v>-15.781000000000001</v>
      </c>
    </row>
    <row r="4" spans="1:19" x14ac:dyDescent="0.25">
      <c r="A4" s="176"/>
      <c r="B4" s="121">
        <v>4</v>
      </c>
      <c r="C4" s="120">
        <v>70.702235673611597</v>
      </c>
      <c r="D4" s="120">
        <v>156.38469250398725</v>
      </c>
      <c r="E4" s="120"/>
      <c r="F4" s="120"/>
      <c r="G4" s="120"/>
      <c r="H4" s="120"/>
      <c r="I4" s="120"/>
      <c r="J4" s="3">
        <v>48.085540743104445</v>
      </c>
      <c r="K4" s="3">
        <v>124.7257856459329</v>
      </c>
      <c r="L4" s="3"/>
      <c r="M4" s="3"/>
      <c r="N4" s="3"/>
      <c r="O4" s="3"/>
      <c r="P4" s="128"/>
      <c r="R4" s="3">
        <v>0.89449999999999996</v>
      </c>
      <c r="S4" s="3">
        <v>-15.154999999999999</v>
      </c>
    </row>
    <row r="5" spans="1:19" x14ac:dyDescent="0.25">
      <c r="A5" s="176"/>
      <c r="B5" s="121">
        <v>5</v>
      </c>
      <c r="C5" s="3">
        <v>70.799332180108564</v>
      </c>
      <c r="D5" s="3">
        <v>155.08297007219991</v>
      </c>
      <c r="E5" s="3"/>
      <c r="F5" s="3"/>
      <c r="G5" s="3"/>
      <c r="H5" s="3"/>
      <c r="I5" s="3"/>
      <c r="J5" s="3">
        <v>49.746221569451734</v>
      </c>
      <c r="K5" s="3">
        <v>122.5291747818717</v>
      </c>
      <c r="L5" s="3"/>
      <c r="M5" s="3"/>
      <c r="N5" s="3"/>
      <c r="O5" s="3"/>
      <c r="P5" s="128"/>
      <c r="R5" s="3">
        <v>0.86350000000000005</v>
      </c>
      <c r="S5" s="3">
        <v>-11.391999999999999</v>
      </c>
    </row>
    <row r="6" spans="1:19" x14ac:dyDescent="0.25">
      <c r="A6" s="176"/>
      <c r="B6" s="121">
        <v>6</v>
      </c>
      <c r="C6" s="3">
        <v>70.158906954436361</v>
      </c>
      <c r="D6" s="3">
        <v>155.1628184652277</v>
      </c>
      <c r="E6" s="3"/>
      <c r="F6" s="3"/>
      <c r="G6" s="3"/>
      <c r="H6" s="3"/>
      <c r="I6" s="3"/>
      <c r="J6" s="3">
        <v>46.537627817745857</v>
      </c>
      <c r="K6" s="3">
        <v>120.73050287769797</v>
      </c>
      <c r="L6" s="3"/>
      <c r="M6" s="3"/>
      <c r="N6" s="3"/>
      <c r="O6" s="3"/>
      <c r="P6" s="128"/>
      <c r="R6" s="3">
        <v>0.87280000000000002</v>
      </c>
      <c r="S6" s="3">
        <v>-14.698</v>
      </c>
    </row>
    <row r="7" spans="1:19" x14ac:dyDescent="0.25">
      <c r="A7" s="176"/>
      <c r="B7" s="121">
        <v>8</v>
      </c>
      <c r="C7" s="3">
        <v>49.563669784172632</v>
      </c>
      <c r="D7" s="3">
        <v>60.849718257756628</v>
      </c>
      <c r="E7" s="133">
        <v>69.384308414606153</v>
      </c>
      <c r="F7" s="3">
        <v>80.126858373205735</v>
      </c>
      <c r="G7" s="3">
        <v>90.465931302270008</v>
      </c>
      <c r="H7" s="3">
        <v>119.34662098321334</v>
      </c>
      <c r="I7" s="3">
        <v>156.56283799181179</v>
      </c>
      <c r="J7" s="3">
        <v>29.124390647481995</v>
      </c>
      <c r="K7" s="3">
        <v>38.834501193317386</v>
      </c>
      <c r="L7" s="3">
        <v>46.41605200663264</v>
      </c>
      <c r="M7" s="3">
        <v>56.346101794258459</v>
      </c>
      <c r="N7" s="3">
        <v>65.437463201911527</v>
      </c>
      <c r="O7" s="3">
        <v>91.095255995203729</v>
      </c>
      <c r="P7" s="128">
        <v>125.02160940568366</v>
      </c>
      <c r="R7" s="3">
        <v>0.89690000000000003</v>
      </c>
      <c r="S7" s="3">
        <v>-15.634</v>
      </c>
    </row>
    <row r="8" spans="1:19" x14ac:dyDescent="0.25">
      <c r="A8" s="176"/>
      <c r="B8" s="121">
        <v>10</v>
      </c>
      <c r="C8" s="3">
        <v>70.355844395860558</v>
      </c>
      <c r="D8" s="3">
        <v>155.12801561417933</v>
      </c>
      <c r="E8" s="3"/>
      <c r="F8" s="3"/>
      <c r="G8" s="3"/>
      <c r="H8" s="3"/>
      <c r="I8" s="3"/>
      <c r="J8" s="3">
        <v>48.549783634936375</v>
      </c>
      <c r="K8" s="3">
        <v>123.2554267698731</v>
      </c>
      <c r="L8" s="3"/>
      <c r="M8" s="3"/>
      <c r="N8" s="3"/>
      <c r="O8" s="3"/>
      <c r="P8" s="128"/>
      <c r="R8" s="3">
        <v>0.88129999999999997</v>
      </c>
      <c r="S8" s="3">
        <v>-13.451000000000001</v>
      </c>
    </row>
    <row r="9" spans="1:19" x14ac:dyDescent="0.25">
      <c r="A9" s="176"/>
      <c r="B9" s="121">
        <v>15</v>
      </c>
      <c r="C9" s="3">
        <v>70.615332134292601</v>
      </c>
      <c r="D9" s="3">
        <v>155.61292263473052</v>
      </c>
      <c r="E9" s="3"/>
      <c r="F9" s="3"/>
      <c r="G9" s="3"/>
      <c r="H9" s="3"/>
      <c r="I9" s="3"/>
      <c r="J9" s="3">
        <v>45.936116666666678</v>
      </c>
      <c r="K9" s="3">
        <v>116.8107459880239</v>
      </c>
      <c r="L9" s="3"/>
      <c r="M9" s="3"/>
      <c r="N9" s="3"/>
      <c r="O9" s="3"/>
      <c r="P9" s="128"/>
      <c r="R9" s="3">
        <v>0.83379999999999999</v>
      </c>
      <c r="S9" s="3">
        <v>-12.946</v>
      </c>
    </row>
    <row r="10" spans="1:19" ht="15.75" thickBot="1" x14ac:dyDescent="0.3">
      <c r="A10" s="177"/>
      <c r="B10" s="129">
        <v>20</v>
      </c>
      <c r="C10" s="130">
        <v>70.235993413173617</v>
      </c>
      <c r="D10" s="130">
        <v>155.76721406250002</v>
      </c>
      <c r="E10" s="130"/>
      <c r="F10" s="130"/>
      <c r="G10" s="130"/>
      <c r="H10" s="130"/>
      <c r="I10" s="130"/>
      <c r="J10" s="130">
        <v>41.829205029940091</v>
      </c>
      <c r="K10" s="130">
        <v>108.53037932692317</v>
      </c>
      <c r="L10" s="130"/>
      <c r="M10" s="130"/>
      <c r="N10" s="130"/>
      <c r="O10" s="130"/>
      <c r="P10" s="131"/>
      <c r="R10" s="3">
        <v>0.77980000000000005</v>
      </c>
      <c r="S10" s="3">
        <v>-12.944000000000001</v>
      </c>
    </row>
    <row r="11" spans="1:19" x14ac:dyDescent="0.25">
      <c r="A11" s="175" t="s">
        <v>415</v>
      </c>
      <c r="B11" s="125">
        <v>3</v>
      </c>
      <c r="C11" s="126">
        <v>70.611142086330972</v>
      </c>
      <c r="D11" s="126">
        <v>154.2261579640718</v>
      </c>
      <c r="E11" s="126"/>
      <c r="F11" s="126"/>
      <c r="G11" s="126"/>
      <c r="H11" s="126"/>
      <c r="I11" s="126"/>
      <c r="J11" s="126">
        <v>49.6132026378897</v>
      </c>
      <c r="K11" s="126">
        <v>125.76597029940129</v>
      </c>
      <c r="L11" s="126"/>
      <c r="M11" s="126"/>
      <c r="N11" s="126"/>
      <c r="O11" s="126"/>
      <c r="P11" s="127"/>
      <c r="R11" s="18">
        <v>0.91080000000000005</v>
      </c>
      <c r="S11" s="18">
        <v>-14.696</v>
      </c>
    </row>
    <row r="12" spans="1:19" x14ac:dyDescent="0.25">
      <c r="A12" s="176"/>
      <c r="B12" s="121">
        <v>4</v>
      </c>
      <c r="C12" s="3">
        <v>70.563919856459293</v>
      </c>
      <c r="D12" s="3">
        <v>153.14544938018651</v>
      </c>
      <c r="E12" s="3"/>
      <c r="F12" s="3"/>
      <c r="G12" s="3"/>
      <c r="H12" s="3"/>
      <c r="I12" s="3"/>
      <c r="J12" s="3">
        <v>45.67860526315787</v>
      </c>
      <c r="K12" s="3">
        <v>124.75644144645736</v>
      </c>
      <c r="L12" s="3"/>
      <c r="M12" s="3"/>
      <c r="N12" s="3"/>
      <c r="O12" s="3"/>
      <c r="P12" s="128"/>
      <c r="R12" s="18">
        <v>0.95760000000000001</v>
      </c>
      <c r="S12" s="18">
        <v>-21.890999999999998</v>
      </c>
    </row>
    <row r="13" spans="1:19" x14ac:dyDescent="0.25">
      <c r="A13" s="176"/>
      <c r="B13" s="121">
        <v>5</v>
      </c>
      <c r="C13" s="3">
        <v>69.518805748502899</v>
      </c>
      <c r="D13" s="3">
        <v>152.07457158273374</v>
      </c>
      <c r="E13" s="3"/>
      <c r="F13" s="3"/>
      <c r="G13" s="3"/>
      <c r="H13" s="3"/>
      <c r="I13" s="3"/>
      <c r="J13" s="3">
        <v>45.497084670658644</v>
      </c>
      <c r="K13" s="3">
        <v>122.28254628297339</v>
      </c>
      <c r="L13" s="3"/>
      <c r="M13" s="3"/>
      <c r="N13" s="3"/>
      <c r="O13" s="3"/>
      <c r="P13" s="128"/>
      <c r="R13" s="18">
        <v>0.93010000000000004</v>
      </c>
      <c r="S13" s="18">
        <v>-19.163</v>
      </c>
    </row>
    <row r="14" spans="1:19" x14ac:dyDescent="0.25">
      <c r="A14" s="176"/>
      <c r="B14" s="121">
        <v>6</v>
      </c>
      <c r="C14" s="3">
        <v>69.592412891566212</v>
      </c>
      <c r="D14" s="3">
        <v>153.89566280193239</v>
      </c>
      <c r="E14" s="3"/>
      <c r="F14" s="3"/>
      <c r="G14" s="3"/>
      <c r="H14" s="3"/>
      <c r="I14" s="3"/>
      <c r="J14" s="3">
        <v>46.103848192771068</v>
      </c>
      <c r="K14" s="3">
        <v>120.64826509661842</v>
      </c>
      <c r="L14" s="3"/>
      <c r="M14" s="3"/>
      <c r="N14" s="3"/>
      <c r="O14" s="3"/>
      <c r="P14" s="128"/>
      <c r="R14" s="18">
        <v>0.88419999999999999</v>
      </c>
      <c r="S14" s="18">
        <v>-15.433</v>
      </c>
    </row>
    <row r="15" spans="1:19" x14ac:dyDescent="0.25">
      <c r="A15" s="176"/>
      <c r="B15" s="121">
        <v>8</v>
      </c>
      <c r="C15" s="3">
        <v>69.412080795524943</v>
      </c>
      <c r="D15" s="3">
        <v>157.40096308243722</v>
      </c>
      <c r="E15" s="3"/>
      <c r="F15" s="3"/>
      <c r="G15" s="3"/>
      <c r="H15" s="3"/>
      <c r="I15" s="3"/>
      <c r="J15" s="3">
        <v>43.3281804847731</v>
      </c>
      <c r="K15" s="3">
        <v>122.41293655913971</v>
      </c>
      <c r="L15" s="3"/>
      <c r="M15" s="3"/>
      <c r="N15" s="3"/>
      <c r="O15" s="3"/>
      <c r="P15" s="128"/>
      <c r="R15" s="18">
        <v>0.89880000000000004</v>
      </c>
      <c r="S15" s="18">
        <v>-19.059999999999999</v>
      </c>
    </row>
    <row r="16" spans="1:19" x14ac:dyDescent="0.25">
      <c r="A16" s="176"/>
      <c r="B16" s="121">
        <v>10</v>
      </c>
      <c r="C16" s="3">
        <v>70.464870000000019</v>
      </c>
      <c r="D16" s="3">
        <v>155.56897985524733</v>
      </c>
      <c r="E16" s="3"/>
      <c r="F16" s="3"/>
      <c r="G16" s="3"/>
      <c r="H16" s="3"/>
      <c r="I16" s="3"/>
      <c r="J16" s="3">
        <v>45.899489047618985</v>
      </c>
      <c r="K16" s="3">
        <v>122.43650410132675</v>
      </c>
      <c r="L16" s="3"/>
      <c r="M16" s="3"/>
      <c r="N16" s="3"/>
      <c r="O16" s="3"/>
      <c r="P16" s="128"/>
      <c r="R16" s="3">
        <v>0.89929999999999999</v>
      </c>
      <c r="S16" s="18">
        <v>-17.472000000000001</v>
      </c>
    </row>
    <row r="17" spans="1:19" x14ac:dyDescent="0.25">
      <c r="A17" s="176"/>
      <c r="B17" s="121">
        <v>15</v>
      </c>
      <c r="C17" s="3">
        <v>70.088177951807197</v>
      </c>
      <c r="D17" s="3">
        <v>152.55862066905615</v>
      </c>
      <c r="E17" s="3"/>
      <c r="F17" s="3"/>
      <c r="G17" s="3"/>
      <c r="H17" s="3"/>
      <c r="I17" s="3"/>
      <c r="J17" s="3">
        <v>46.920992289156587</v>
      </c>
      <c r="K17" s="3">
        <v>120.62095806451607</v>
      </c>
      <c r="L17" s="3"/>
      <c r="M17" s="3"/>
      <c r="N17" s="3"/>
      <c r="O17" s="3"/>
      <c r="P17" s="128"/>
      <c r="R17" s="3">
        <v>0.89370000000000005</v>
      </c>
      <c r="S17" s="18">
        <v>-15.714</v>
      </c>
    </row>
    <row r="18" spans="1:19" ht="15.75" thickBot="1" x14ac:dyDescent="0.3">
      <c r="A18" s="186"/>
      <c r="B18" s="142">
        <v>20</v>
      </c>
      <c r="C18" s="143">
        <v>70.75905887290169</v>
      </c>
      <c r="D18" s="143">
        <v>156.83871244019139</v>
      </c>
      <c r="E18" s="143"/>
      <c r="F18" s="143"/>
      <c r="G18" s="143"/>
      <c r="H18" s="143"/>
      <c r="I18" s="143"/>
      <c r="J18" s="143">
        <v>41.879186091127089</v>
      </c>
      <c r="K18" s="143">
        <v>115.78112344497602</v>
      </c>
      <c r="L18" s="143"/>
      <c r="M18" s="143"/>
      <c r="N18" s="143"/>
      <c r="O18" s="143"/>
      <c r="P18" s="144"/>
      <c r="R18" s="3">
        <v>0.85850000000000004</v>
      </c>
      <c r="S18" s="18">
        <v>-18.87</v>
      </c>
    </row>
    <row r="19" spans="1:19" x14ac:dyDescent="0.25">
      <c r="A19" s="175" t="s">
        <v>421</v>
      </c>
      <c r="B19" s="125">
        <v>30</v>
      </c>
      <c r="C19" s="126">
        <v>70.189979207920814</v>
      </c>
      <c r="D19" s="145">
        <v>156.80358811881189</v>
      </c>
      <c r="E19" s="126"/>
      <c r="F19" s="126"/>
      <c r="G19" s="126"/>
      <c r="H19" s="126"/>
      <c r="I19" s="126"/>
      <c r="J19" s="126">
        <v>46.810406930693055</v>
      </c>
      <c r="K19" s="145">
        <v>123.61217425742574</v>
      </c>
      <c r="L19" s="126"/>
      <c r="M19" s="126"/>
      <c r="N19" s="126"/>
      <c r="O19" s="126"/>
      <c r="P19" s="127"/>
      <c r="R19" s="18">
        <v>0.88670000000000004</v>
      </c>
      <c r="S19" s="18">
        <v>-15.428000000000001</v>
      </c>
    </row>
    <row r="20" spans="1:19" x14ac:dyDescent="0.25">
      <c r="A20" s="176"/>
      <c r="B20" s="121">
        <v>40</v>
      </c>
      <c r="C20" s="3">
        <v>70.607572277227732</v>
      </c>
      <c r="D20" s="67">
        <v>153.9775495049505</v>
      </c>
      <c r="E20" s="3"/>
      <c r="F20" s="3"/>
      <c r="G20" s="3"/>
      <c r="H20" s="3"/>
      <c r="I20" s="3"/>
      <c r="J20" s="3">
        <v>46.299599009901002</v>
      </c>
      <c r="K20" s="67">
        <v>118.66258613861389</v>
      </c>
      <c r="L20" s="3"/>
      <c r="M20" s="3"/>
      <c r="N20" s="3"/>
      <c r="O20" s="3"/>
      <c r="P20" s="128"/>
      <c r="R20" s="18">
        <v>0.86799999999999999</v>
      </c>
      <c r="S20" s="18">
        <v>-14.986000000000001</v>
      </c>
    </row>
    <row r="21" spans="1:19" x14ac:dyDescent="0.25">
      <c r="A21" s="176"/>
      <c r="B21" s="121">
        <v>50</v>
      </c>
      <c r="C21" s="3">
        <v>70.219415841584137</v>
      </c>
      <c r="D21" s="67">
        <v>155.09715049504945</v>
      </c>
      <c r="E21" s="3"/>
      <c r="F21" s="3"/>
      <c r="G21" s="3"/>
      <c r="H21" s="3"/>
      <c r="I21" s="3"/>
      <c r="J21" s="3">
        <v>44.749762376237619</v>
      </c>
      <c r="K21" s="67">
        <v>122.13836534653464</v>
      </c>
      <c r="L21" s="3"/>
      <c r="M21" s="3"/>
      <c r="N21" s="3"/>
      <c r="O21" s="3"/>
      <c r="P21" s="128"/>
      <c r="R21" s="18">
        <v>0.91180000000000005</v>
      </c>
      <c r="S21" s="18">
        <v>-19.274000000000001</v>
      </c>
    </row>
    <row r="22" spans="1:19" x14ac:dyDescent="0.25">
      <c r="A22" s="176"/>
      <c r="B22" s="121">
        <v>60</v>
      </c>
      <c r="C22" s="3">
        <v>70.198609900990107</v>
      </c>
      <c r="D22" s="67">
        <v>154.49966336633662</v>
      </c>
      <c r="E22" s="3"/>
      <c r="F22" s="3"/>
      <c r="G22" s="3"/>
      <c r="H22" s="3"/>
      <c r="I22" s="3"/>
      <c r="J22" s="3">
        <v>43.630598019801994</v>
      </c>
      <c r="K22" s="67">
        <v>116.16459306930693</v>
      </c>
      <c r="L22" s="3"/>
      <c r="M22" s="3"/>
      <c r="N22" s="3"/>
      <c r="O22" s="3"/>
      <c r="P22" s="128"/>
      <c r="R22" s="18">
        <v>0.86040000000000005</v>
      </c>
      <c r="S22" s="18">
        <v>-16.768999999999998</v>
      </c>
    </row>
    <row r="23" spans="1:19" x14ac:dyDescent="0.25">
      <c r="A23" s="176"/>
      <c r="B23" s="121">
        <v>70</v>
      </c>
      <c r="C23" s="3">
        <v>70.407248514851489</v>
      </c>
      <c r="D23" s="67">
        <v>154.43467524752469</v>
      </c>
      <c r="E23" s="3"/>
      <c r="F23" s="3"/>
      <c r="G23" s="3"/>
      <c r="H23" s="3"/>
      <c r="I23" s="3"/>
      <c r="J23" s="3">
        <v>40.437130693069307</v>
      </c>
      <c r="K23" s="67">
        <v>114.23019801980203</v>
      </c>
      <c r="L23" s="3"/>
      <c r="M23" s="3"/>
      <c r="N23" s="3"/>
      <c r="O23" s="3"/>
      <c r="P23" s="128"/>
      <c r="R23" s="18">
        <v>0.87819999999999998</v>
      </c>
      <c r="S23" s="18">
        <v>-21.395</v>
      </c>
    </row>
    <row r="24" spans="1:19" x14ac:dyDescent="0.25">
      <c r="A24" s="176"/>
      <c r="B24" s="121">
        <v>80</v>
      </c>
      <c r="C24" s="3">
        <v>70.027228712871278</v>
      </c>
      <c r="D24" s="67">
        <v>158.25002970297035</v>
      </c>
      <c r="E24" s="3"/>
      <c r="F24" s="3"/>
      <c r="G24" s="3"/>
      <c r="H24" s="3"/>
      <c r="I24" s="3"/>
      <c r="J24" s="3">
        <v>39.943843564356456</v>
      </c>
      <c r="K24" s="67">
        <v>116.17174356435642</v>
      </c>
      <c r="L24" s="3"/>
      <c r="M24" s="3"/>
      <c r="N24" s="3"/>
      <c r="O24" s="3"/>
      <c r="P24" s="128"/>
      <c r="R24" s="18">
        <v>0.86399999999999999</v>
      </c>
      <c r="S24" s="18">
        <v>-20.562000000000001</v>
      </c>
    </row>
    <row r="25" spans="1:19" x14ac:dyDescent="0.25">
      <c r="A25" s="176"/>
      <c r="B25" s="121">
        <v>90</v>
      </c>
      <c r="C25" s="3">
        <v>70.232254455445542</v>
      </c>
      <c r="D25" s="67">
        <v>155.62291188118817</v>
      </c>
      <c r="E25" s="3"/>
      <c r="F25" s="3"/>
      <c r="G25" s="3"/>
      <c r="H25" s="3"/>
      <c r="I25" s="3"/>
      <c r="J25" s="3">
        <v>39.909505940594066</v>
      </c>
      <c r="K25" s="67">
        <v>107.01459702970297</v>
      </c>
      <c r="L25" s="3"/>
      <c r="M25" s="3"/>
      <c r="N25" s="3"/>
      <c r="O25" s="3"/>
      <c r="P25" s="128"/>
      <c r="R25" s="18">
        <v>0.78590000000000004</v>
      </c>
      <c r="S25" s="18">
        <v>-15.282999999999999</v>
      </c>
    </row>
    <row r="26" spans="1:19" x14ac:dyDescent="0.25">
      <c r="A26" s="176"/>
      <c r="B26" s="121">
        <v>100</v>
      </c>
      <c r="C26" s="3">
        <v>70.647916831683148</v>
      </c>
      <c r="D26" s="67">
        <v>155.63281089108904</v>
      </c>
      <c r="E26" s="3"/>
      <c r="F26" s="3"/>
      <c r="G26" s="3"/>
      <c r="H26" s="3"/>
      <c r="I26" s="3"/>
      <c r="J26" s="3">
        <v>39.149975247524758</v>
      </c>
      <c r="K26" s="67">
        <v>115.5796653465347</v>
      </c>
      <c r="L26" s="3"/>
      <c r="M26" s="3"/>
      <c r="N26" s="3"/>
      <c r="O26" s="3"/>
      <c r="P26" s="128"/>
      <c r="R26" s="18">
        <v>0.89929999999999999</v>
      </c>
      <c r="S26" s="18">
        <v>-24.385999999999999</v>
      </c>
    </row>
    <row r="27" spans="1:19" ht="15.75" thickBot="1" x14ac:dyDescent="0.3">
      <c r="A27" s="177"/>
      <c r="B27" s="129">
        <v>110</v>
      </c>
      <c r="C27" s="130">
        <v>70.293989108910907</v>
      </c>
      <c r="D27" s="146">
        <v>155.57521980198018</v>
      </c>
      <c r="E27" s="130"/>
      <c r="F27" s="130"/>
      <c r="G27" s="130"/>
      <c r="H27" s="130"/>
      <c r="I27" s="130"/>
      <c r="J27" s="130">
        <v>39.612766336633662</v>
      </c>
      <c r="K27" s="146">
        <v>115.45134653465344</v>
      </c>
      <c r="L27" s="130"/>
      <c r="M27" s="130"/>
      <c r="N27" s="130"/>
      <c r="O27" s="130"/>
      <c r="P27" s="131"/>
      <c r="R27" s="18">
        <v>0.88929999999999998</v>
      </c>
      <c r="S27" s="18">
        <v>-22.898</v>
      </c>
    </row>
  </sheetData>
  <sheetProtection password="F4FE" sheet="1" objects="1" scenarios="1" selectLockedCells="1" selectUnlockedCells="1"/>
  <mergeCells count="8">
    <mergeCell ref="A19:A27"/>
    <mergeCell ref="J1:P2"/>
    <mergeCell ref="R1:S1"/>
    <mergeCell ref="A3:A10"/>
    <mergeCell ref="A1:A2"/>
    <mergeCell ref="A11:A18"/>
    <mergeCell ref="B1:B2"/>
    <mergeCell ref="C1:I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calcolo</vt:lpstr>
      <vt:lpstr>dati normativa</vt:lpstr>
      <vt:lpstr>risultati prove</vt:lpstr>
      <vt:lpstr>risultati intermedi</vt:lpstr>
      <vt:lpstr>Città</vt:lpstr>
      <vt:lpstr>province</vt:lpstr>
      <vt:lpstr>riflettanza</vt:lpstr>
      <vt:lpstr>Superfici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2012-09-27T08:12:14Z</dcterms:modified>
</cp:coreProperties>
</file>